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firstSheet="6" activeTab="6"/>
  </bookViews>
  <sheets>
    <sheet name="01.04.2017" sheetId="1" r:id="rId1"/>
    <sheet name="01.05.2017" sheetId="2" r:id="rId2"/>
    <sheet name="01.06.2017" sheetId="5" r:id="rId3"/>
    <sheet name="01.07.2017" sheetId="7" r:id="rId4"/>
    <sheet name="01.08.2017" sheetId="3" r:id="rId5"/>
    <sheet name="01.09.2017" sheetId="8" r:id="rId6"/>
    <sheet name="01.10.2017" sheetId="9" r:id="rId7"/>
  </sheets>
  <definedNames>
    <definedName name="_xlnm.Print_Area" localSheetId="0">'01.04.2017'!$A$1:$N$215</definedName>
    <definedName name="_xlnm.Print_Area" localSheetId="1">'01.05.2017'!$A$1:$N$217</definedName>
    <definedName name="_xlnm.Print_Area" localSheetId="2">'01.06.2017'!$A$1:$N$223</definedName>
    <definedName name="_xlnm.Print_Area" localSheetId="3">'01.07.2017'!$A$1:$N$222</definedName>
    <definedName name="_xlnm.Print_Area" localSheetId="4">'01.08.2017'!$A$1:$N$235</definedName>
    <definedName name="_xlnm.Print_Area" localSheetId="5">'01.09.2017'!$A$1:$N$219</definedName>
    <definedName name="_xlnm.Print_Area" localSheetId="6">'01.10.2017'!$A$1:$M$237</definedName>
  </definedNames>
  <calcPr calcId="152511"/>
</workbook>
</file>

<file path=xl/calcChain.xml><?xml version="1.0" encoding="utf-8"?>
<calcChain xmlns="http://schemas.openxmlformats.org/spreadsheetml/2006/main">
  <c r="G138" i="9" l="1"/>
  <c r="F129" i="9"/>
  <c r="H168" i="9" l="1"/>
  <c r="H208" i="9"/>
  <c r="L88" i="9" l="1"/>
  <c r="K88" i="9"/>
  <c r="J88" i="9"/>
  <c r="H88" i="9"/>
  <c r="G88" i="9"/>
  <c r="F88" i="9"/>
  <c r="H86" i="9"/>
  <c r="G86" i="9"/>
  <c r="G85" i="9" s="1"/>
  <c r="F86" i="9"/>
  <c r="L85" i="9"/>
  <c r="K85" i="9"/>
  <c r="J85" i="9"/>
  <c r="F85" i="9" l="1"/>
  <c r="H85" i="9"/>
  <c r="G186" i="9"/>
  <c r="F186" i="9"/>
  <c r="H33" i="9" l="1"/>
  <c r="H31" i="9" s="1"/>
  <c r="G33" i="9"/>
  <c r="F33" i="9"/>
  <c r="H201" i="9" l="1"/>
  <c r="G201" i="9"/>
  <c r="F201" i="9"/>
  <c r="F110" i="9"/>
  <c r="H137" i="9" l="1"/>
  <c r="F137" i="9"/>
  <c r="G178" i="9" l="1"/>
  <c r="G179" i="9"/>
  <c r="H110" i="9" l="1"/>
  <c r="G110" i="9"/>
  <c r="L110" i="9"/>
  <c r="K110" i="9"/>
  <c r="J110" i="9"/>
  <c r="M110" i="9" l="1"/>
  <c r="L160" i="9" l="1"/>
  <c r="L156" i="9"/>
  <c r="J160" i="9"/>
  <c r="K160" i="9"/>
  <c r="K156" i="9"/>
  <c r="J156" i="9"/>
  <c r="K151" i="9"/>
  <c r="J151" i="9"/>
  <c r="K131" i="9"/>
  <c r="J131" i="9"/>
  <c r="K135" i="9"/>
  <c r="J135" i="9"/>
  <c r="M135" i="9" s="1"/>
  <c r="G200" i="9" l="1"/>
  <c r="F200" i="9"/>
  <c r="K152" i="9"/>
  <c r="L221" i="9"/>
  <c r="F23" i="9"/>
  <c r="G208" i="9" l="1"/>
  <c r="H187" i="9"/>
  <c r="L170" i="9"/>
  <c r="L133" i="9"/>
  <c r="L230" i="9" l="1"/>
  <c r="K230" i="9"/>
  <c r="I229" i="9"/>
  <c r="J228" i="9"/>
  <c r="J230" i="9" s="1"/>
  <c r="H228" i="9"/>
  <c r="G228" i="9"/>
  <c r="G230" i="9" s="1"/>
  <c r="F228" i="9"/>
  <c r="F230" i="9" s="1"/>
  <c r="M221" i="9"/>
  <c r="K221" i="9"/>
  <c r="J221" i="9"/>
  <c r="I221" i="9"/>
  <c r="H221" i="9"/>
  <c r="G221" i="9"/>
  <c r="F221" i="9"/>
  <c r="I220" i="9"/>
  <c r="I219" i="9"/>
  <c r="L218" i="9"/>
  <c r="K218" i="9"/>
  <c r="J218" i="9"/>
  <c r="H218" i="9"/>
  <c r="G218" i="9"/>
  <c r="G225" i="9" s="1"/>
  <c r="F218" i="9"/>
  <c r="F225" i="9" s="1"/>
  <c r="I214" i="9"/>
  <c r="M213" i="9"/>
  <c r="M212" i="9"/>
  <c r="L211" i="9"/>
  <c r="K211" i="9"/>
  <c r="J211" i="9"/>
  <c r="H211" i="9"/>
  <c r="G211" i="9"/>
  <c r="F211" i="9"/>
  <c r="G207" i="9"/>
  <c r="G206" i="9" s="1"/>
  <c r="G215" i="9" s="1"/>
  <c r="L206" i="9"/>
  <c r="K206" i="9"/>
  <c r="J206" i="9"/>
  <c r="H206" i="9"/>
  <c r="F206" i="9"/>
  <c r="F215" i="9" s="1"/>
  <c r="I200" i="9"/>
  <c r="H199" i="9"/>
  <c r="G199" i="9"/>
  <c r="F199" i="9"/>
  <c r="H197" i="9"/>
  <c r="G197" i="9"/>
  <c r="F197" i="9"/>
  <c r="L194" i="9"/>
  <c r="K194" i="9"/>
  <c r="J194" i="9"/>
  <c r="F194" i="9"/>
  <c r="J192" i="9"/>
  <c r="J191" i="9" s="1"/>
  <c r="L191" i="9"/>
  <c r="K191" i="9"/>
  <c r="F191" i="9"/>
  <c r="F187" i="9" s="1"/>
  <c r="G187" i="9"/>
  <c r="L184" i="9"/>
  <c r="K184" i="9"/>
  <c r="J184" i="9"/>
  <c r="H184" i="9"/>
  <c r="G184" i="9"/>
  <c r="F184" i="9"/>
  <c r="H177" i="9"/>
  <c r="L177" i="9"/>
  <c r="K177" i="9"/>
  <c r="J177" i="9"/>
  <c r="G177" i="9"/>
  <c r="F177" i="9"/>
  <c r="H175" i="9"/>
  <c r="H174" i="9" s="1"/>
  <c r="G175" i="9"/>
  <c r="L174" i="9"/>
  <c r="K174" i="9"/>
  <c r="J174" i="9"/>
  <c r="M174" i="9" s="1"/>
  <c r="G174" i="9"/>
  <c r="F174" i="9"/>
  <c r="H172" i="9"/>
  <c r="G172" i="9"/>
  <c r="F172" i="9"/>
  <c r="H171" i="9"/>
  <c r="H169" i="9" s="1"/>
  <c r="G171" i="9"/>
  <c r="G169" i="9" s="1"/>
  <c r="L169" i="9"/>
  <c r="K169" i="9"/>
  <c r="J169" i="9"/>
  <c r="F169" i="9"/>
  <c r="F168" i="9"/>
  <c r="F165" i="9"/>
  <c r="J162" i="9"/>
  <c r="H162" i="9"/>
  <c r="H161" i="9" s="1"/>
  <c r="G162" i="9"/>
  <c r="G161" i="9" s="1"/>
  <c r="L157" i="9"/>
  <c r="K157" i="9"/>
  <c r="J157" i="9"/>
  <c r="F157" i="9"/>
  <c r="L154" i="9"/>
  <c r="K154" i="9"/>
  <c r="J154" i="9"/>
  <c r="F154" i="9"/>
  <c r="F149" i="9"/>
  <c r="L143" i="9"/>
  <c r="K143" i="9"/>
  <c r="J143" i="9"/>
  <c r="H143" i="9"/>
  <c r="G143" i="9"/>
  <c r="F143" i="9"/>
  <c r="H135" i="9"/>
  <c r="G135" i="9"/>
  <c r="F135" i="9"/>
  <c r="I135" i="9" s="1"/>
  <c r="L132" i="9"/>
  <c r="K132" i="9"/>
  <c r="J132" i="9"/>
  <c r="H132" i="9"/>
  <c r="G132" i="9"/>
  <c r="F132" i="9"/>
  <c r="K130" i="9"/>
  <c r="L130" i="9"/>
  <c r="J130" i="9"/>
  <c r="F130" i="9"/>
  <c r="F127" i="9"/>
  <c r="F125" i="9"/>
  <c r="F124" i="9"/>
  <c r="H120" i="9"/>
  <c r="G120" i="9"/>
  <c r="H108" i="9"/>
  <c r="G108" i="9"/>
  <c r="F108" i="9"/>
  <c r="J105" i="9"/>
  <c r="J103" i="9" s="1"/>
  <c r="H105" i="9"/>
  <c r="G105" i="9"/>
  <c r="G103" i="9" s="1"/>
  <c r="F105" i="9"/>
  <c r="F103" i="9" s="1"/>
  <c r="I104" i="9"/>
  <c r="L103" i="9"/>
  <c r="L116" i="9" s="1"/>
  <c r="K103" i="9"/>
  <c r="K116" i="9" s="1"/>
  <c r="H103" i="9"/>
  <c r="J99" i="9"/>
  <c r="H99" i="9"/>
  <c r="G99" i="9"/>
  <c r="G98" i="9" s="1"/>
  <c r="F99" i="9"/>
  <c r="F98" i="9" s="1"/>
  <c r="J98" i="9"/>
  <c r="J116" i="9" s="1"/>
  <c r="H98" i="9"/>
  <c r="J93" i="9"/>
  <c r="J95" i="9" s="1"/>
  <c r="H93" i="9"/>
  <c r="H95" i="9" s="1"/>
  <c r="G93" i="9"/>
  <c r="G95" i="9" s="1"/>
  <c r="F93" i="9"/>
  <c r="F95" i="9" s="1"/>
  <c r="J82" i="9"/>
  <c r="H82" i="9"/>
  <c r="G82" i="9"/>
  <c r="F82" i="9"/>
  <c r="J79" i="9"/>
  <c r="H79" i="9"/>
  <c r="G79" i="9"/>
  <c r="F79" i="9"/>
  <c r="J76" i="9"/>
  <c r="H76" i="9"/>
  <c r="G76" i="9"/>
  <c r="F76" i="9"/>
  <c r="H70" i="9"/>
  <c r="G70" i="9"/>
  <c r="F70" i="9"/>
  <c r="J65" i="9"/>
  <c r="J63" i="9" s="1"/>
  <c r="H65" i="9"/>
  <c r="H63" i="9" s="1"/>
  <c r="G65" i="9"/>
  <c r="G63" i="9" s="1"/>
  <c r="F65" i="9"/>
  <c r="F63" i="9" s="1"/>
  <c r="M63" i="9"/>
  <c r="L63" i="9"/>
  <c r="K63" i="9"/>
  <c r="I63" i="9"/>
  <c r="F62" i="9"/>
  <c r="I62" i="9" s="1"/>
  <c r="I61" i="9"/>
  <c r="I60" i="9"/>
  <c r="I59" i="9"/>
  <c r="I58" i="9"/>
  <c r="H57" i="9"/>
  <c r="G57" i="9"/>
  <c r="F57" i="9"/>
  <c r="I55" i="9"/>
  <c r="I54" i="9"/>
  <c r="I53" i="9"/>
  <c r="J49" i="9"/>
  <c r="F49" i="9"/>
  <c r="L47" i="9"/>
  <c r="L90" i="9" s="1"/>
  <c r="K47" i="9"/>
  <c r="K90" i="9" s="1"/>
  <c r="J47" i="9"/>
  <c r="H47" i="9"/>
  <c r="G47" i="9"/>
  <c r="J42" i="9"/>
  <c r="J44" i="9" s="1"/>
  <c r="H42" i="9"/>
  <c r="H44" i="9" s="1"/>
  <c r="G42" i="9"/>
  <c r="G44" i="9" s="1"/>
  <c r="F42" i="9"/>
  <c r="F44" i="9" s="1"/>
  <c r="M39" i="9"/>
  <c r="I39" i="9"/>
  <c r="J33" i="9"/>
  <c r="F31" i="9"/>
  <c r="I32" i="9"/>
  <c r="L31" i="9"/>
  <c r="K31" i="9"/>
  <c r="J31" i="9"/>
  <c r="G31" i="9"/>
  <c r="M26" i="9"/>
  <c r="K26" i="9"/>
  <c r="F24" i="9"/>
  <c r="I24" i="9" s="1"/>
  <c r="H18" i="9"/>
  <c r="H17" i="9" s="1"/>
  <c r="G18" i="9"/>
  <c r="G17" i="9" s="1"/>
  <c r="F18" i="9"/>
  <c r="L17" i="9"/>
  <c r="K17" i="9"/>
  <c r="J17" i="9"/>
  <c r="J15" i="9"/>
  <c r="H15" i="9"/>
  <c r="G15" i="9"/>
  <c r="G13" i="9" s="1"/>
  <c r="F15" i="9"/>
  <c r="F13" i="9" s="1"/>
  <c r="L13" i="9"/>
  <c r="K13" i="9"/>
  <c r="J13" i="9"/>
  <c r="H13" i="9"/>
  <c r="I49" i="9" l="1"/>
  <c r="F47" i="9"/>
  <c r="J90" i="9"/>
  <c r="K28" i="9"/>
  <c r="M211" i="9"/>
  <c r="F162" i="9"/>
  <c r="F161" i="9" s="1"/>
  <c r="J28" i="9"/>
  <c r="L28" i="9"/>
  <c r="M90" i="9"/>
  <c r="M132" i="9"/>
  <c r="I199" i="9"/>
  <c r="J215" i="9"/>
  <c r="K225" i="9"/>
  <c r="I143" i="9"/>
  <c r="M143" i="9"/>
  <c r="I95" i="9"/>
  <c r="I99" i="9"/>
  <c r="G28" i="9"/>
  <c r="I42" i="9"/>
  <c r="I44" i="9" s="1"/>
  <c r="F120" i="9"/>
  <c r="F119" i="9" s="1"/>
  <c r="F203" i="9" s="1"/>
  <c r="J119" i="9"/>
  <c r="K119" i="9"/>
  <c r="I174" i="9"/>
  <c r="I177" i="9"/>
  <c r="M177" i="9"/>
  <c r="M191" i="9"/>
  <c r="M194" i="9"/>
  <c r="G119" i="9"/>
  <c r="G203" i="9" s="1"/>
  <c r="F116" i="9"/>
  <c r="I13" i="9"/>
  <c r="I57" i="9"/>
  <c r="I98" i="9"/>
  <c r="I103" i="9"/>
  <c r="I132" i="9"/>
  <c r="I120" i="9" s="1"/>
  <c r="I197" i="9"/>
  <c r="I211" i="9"/>
  <c r="F17" i="9"/>
  <c r="F28" i="9" s="1"/>
  <c r="H28" i="9"/>
  <c r="M47" i="9"/>
  <c r="F69" i="9"/>
  <c r="G69" i="9"/>
  <c r="G90" i="9" s="1"/>
  <c r="H119" i="9"/>
  <c r="H203" i="9" s="1"/>
  <c r="K149" i="9"/>
  <c r="L187" i="9"/>
  <c r="K215" i="9"/>
  <c r="J225" i="9"/>
  <c r="I228" i="9"/>
  <c r="J187" i="9"/>
  <c r="K187" i="9"/>
  <c r="H69" i="9"/>
  <c r="H90" i="9" s="1"/>
  <c r="H215" i="9"/>
  <c r="I215" i="9" s="1"/>
  <c r="I161" i="9"/>
  <c r="I31" i="9"/>
  <c r="I110" i="9"/>
  <c r="H116" i="9"/>
  <c r="M130" i="9"/>
  <c r="L119" i="9"/>
  <c r="M169" i="9"/>
  <c r="M184" i="9"/>
  <c r="M206" i="9"/>
  <c r="M215" i="9" s="1"/>
  <c r="L215" i="9"/>
  <c r="M218" i="9"/>
  <c r="M225" i="9" s="1"/>
  <c r="L225" i="9"/>
  <c r="I33" i="9"/>
  <c r="G116" i="9"/>
  <c r="M103" i="9"/>
  <c r="J149" i="9"/>
  <c r="L149" i="9"/>
  <c r="I169" i="9"/>
  <c r="I184" i="9"/>
  <c r="I187" i="9"/>
  <c r="I206" i="9"/>
  <c r="I218" i="9"/>
  <c r="I225" i="9" s="1"/>
  <c r="H225" i="9"/>
  <c r="H230" i="9"/>
  <c r="I230" i="9" s="1"/>
  <c r="L57" i="9"/>
  <c r="M57" i="9" s="1"/>
  <c r="M150" i="8"/>
  <c r="L150" i="8"/>
  <c r="K150" i="8"/>
  <c r="M146" i="8"/>
  <c r="L146" i="8"/>
  <c r="K146" i="8"/>
  <c r="M141" i="8"/>
  <c r="L141" i="8"/>
  <c r="K141" i="8"/>
  <c r="I47" i="9" l="1"/>
  <c r="I90" i="9" s="1"/>
  <c r="F90" i="9"/>
  <c r="F231" i="9" s="1"/>
  <c r="I28" i="9"/>
  <c r="I116" i="9"/>
  <c r="M187" i="9"/>
  <c r="M28" i="9"/>
  <c r="I119" i="9"/>
  <c r="H231" i="9"/>
  <c r="N231" i="9" s="1"/>
  <c r="G231" i="9"/>
  <c r="K203" i="9"/>
  <c r="I17" i="9"/>
  <c r="K231" i="9"/>
  <c r="J203" i="9"/>
  <c r="J231" i="9" s="1"/>
  <c r="M149" i="9"/>
  <c r="L203" i="9"/>
  <c r="M119" i="9"/>
  <c r="H196" i="8"/>
  <c r="I231" i="9" l="1"/>
  <c r="I203" i="9"/>
  <c r="M203" i="9"/>
  <c r="L231" i="9"/>
  <c r="M231" i="9" s="1"/>
  <c r="I168" i="8"/>
  <c r="I126" i="8"/>
  <c r="I125" i="8" s="1"/>
  <c r="M164" i="8" l="1"/>
  <c r="M133" i="8"/>
  <c r="L133" i="8"/>
  <c r="K133" i="8"/>
  <c r="M125" i="8"/>
  <c r="L125" i="8"/>
  <c r="K125" i="8"/>
  <c r="M121" i="8"/>
  <c r="L121" i="8"/>
  <c r="K121" i="8"/>
  <c r="I77" i="8"/>
  <c r="H77" i="8"/>
  <c r="H168" i="8" l="1"/>
  <c r="H169" i="8"/>
  <c r="H128" i="8"/>
  <c r="G115" i="8" l="1"/>
  <c r="I113" i="8" l="1"/>
  <c r="M218" i="8" l="1"/>
  <c r="L218" i="8"/>
  <c r="J217" i="8"/>
  <c r="K216" i="8"/>
  <c r="K218" i="8" s="1"/>
  <c r="I216" i="8"/>
  <c r="I218" i="8" s="1"/>
  <c r="H216" i="8"/>
  <c r="H218" i="8" s="1"/>
  <c r="G216" i="8"/>
  <c r="G218" i="8" s="1"/>
  <c r="N209" i="8"/>
  <c r="M209" i="8"/>
  <c r="L209" i="8"/>
  <c r="K209" i="8"/>
  <c r="J209" i="8"/>
  <c r="I209" i="8"/>
  <c r="H209" i="8"/>
  <c r="G209" i="8"/>
  <c r="J208" i="8"/>
  <c r="J207" i="8"/>
  <c r="M206" i="8"/>
  <c r="L206" i="8"/>
  <c r="K206" i="8"/>
  <c r="I206" i="8"/>
  <c r="I213" i="8" s="1"/>
  <c r="H206" i="8"/>
  <c r="H213" i="8" s="1"/>
  <c r="G206" i="8"/>
  <c r="G213" i="8" s="1"/>
  <c r="J202" i="8"/>
  <c r="N201" i="8"/>
  <c r="N200" i="8"/>
  <c r="M199" i="8"/>
  <c r="L199" i="8"/>
  <c r="K199" i="8"/>
  <c r="I199" i="8"/>
  <c r="H199" i="8"/>
  <c r="G199" i="8"/>
  <c r="I196" i="8"/>
  <c r="I194" i="8" s="1"/>
  <c r="H195" i="8"/>
  <c r="H194" i="8" s="1"/>
  <c r="M194" i="8"/>
  <c r="L194" i="8"/>
  <c r="L203" i="8" s="1"/>
  <c r="K194" i="8"/>
  <c r="K203" i="8" s="1"/>
  <c r="G194" i="8"/>
  <c r="J190" i="8"/>
  <c r="I189" i="8"/>
  <c r="H189" i="8"/>
  <c r="G189" i="8"/>
  <c r="I187" i="8"/>
  <c r="H187" i="8"/>
  <c r="G187" i="8"/>
  <c r="M184" i="8"/>
  <c r="L184" i="8"/>
  <c r="K184" i="8"/>
  <c r="G184" i="8"/>
  <c r="K182" i="8"/>
  <c r="K181" i="8" s="1"/>
  <c r="K177" i="8" s="1"/>
  <c r="M181" i="8"/>
  <c r="L181" i="8"/>
  <c r="G181" i="8"/>
  <c r="I177" i="8"/>
  <c r="H177" i="8"/>
  <c r="M174" i="8"/>
  <c r="L174" i="8"/>
  <c r="K174" i="8"/>
  <c r="I174" i="8"/>
  <c r="H174" i="8"/>
  <c r="G174" i="8"/>
  <c r="M167" i="8"/>
  <c r="L167" i="8"/>
  <c r="K167" i="8"/>
  <c r="I167" i="8"/>
  <c r="G167" i="8"/>
  <c r="I165" i="8"/>
  <c r="H165" i="8"/>
  <c r="H164" i="8" s="1"/>
  <c r="L164" i="8"/>
  <c r="K164" i="8"/>
  <c r="N164" i="8" s="1"/>
  <c r="I164" i="8"/>
  <c r="G164" i="8"/>
  <c r="I162" i="8"/>
  <c r="H162" i="8"/>
  <c r="G162" i="8"/>
  <c r="I161" i="8"/>
  <c r="I159" i="8" s="1"/>
  <c r="H161" i="8"/>
  <c r="H159" i="8" s="1"/>
  <c r="M159" i="8"/>
  <c r="L159" i="8"/>
  <c r="K159" i="8"/>
  <c r="G159" i="8"/>
  <c r="G158" i="8"/>
  <c r="G155" i="8"/>
  <c r="K152" i="8"/>
  <c r="I152" i="8"/>
  <c r="I151" i="8" s="1"/>
  <c r="H152" i="8"/>
  <c r="H151" i="8" s="1"/>
  <c r="M147" i="8"/>
  <c r="L147" i="8"/>
  <c r="K147" i="8"/>
  <c r="G147" i="8"/>
  <c r="M144" i="8"/>
  <c r="L144" i="8"/>
  <c r="K144" i="8"/>
  <c r="G144" i="8"/>
  <c r="N139" i="8"/>
  <c r="G139" i="8"/>
  <c r="H135" i="8"/>
  <c r="H133" i="8" s="1"/>
  <c r="I133" i="8"/>
  <c r="G133" i="8"/>
  <c r="H125" i="8"/>
  <c r="G125" i="8"/>
  <c r="M122" i="8"/>
  <c r="L122" i="8"/>
  <c r="K122" i="8"/>
  <c r="I122" i="8"/>
  <c r="H122" i="8"/>
  <c r="G122" i="8"/>
  <c r="M120" i="8"/>
  <c r="M109" i="8" s="1"/>
  <c r="L120" i="8"/>
  <c r="L109" i="8" s="1"/>
  <c r="K120" i="8"/>
  <c r="G120" i="8"/>
  <c r="G117" i="8"/>
  <c r="G114" i="8"/>
  <c r="I110" i="8"/>
  <c r="H110" i="8"/>
  <c r="I101" i="8"/>
  <c r="H101" i="8"/>
  <c r="G101" i="8"/>
  <c r="I99" i="8"/>
  <c r="H99" i="8"/>
  <c r="G99" i="8"/>
  <c r="K96" i="8"/>
  <c r="K94" i="8" s="1"/>
  <c r="I96" i="8"/>
  <c r="I94" i="8" s="1"/>
  <c r="H96" i="8"/>
  <c r="G96" i="8"/>
  <c r="G94" i="8" s="1"/>
  <c r="J95" i="8"/>
  <c r="M94" i="8"/>
  <c r="M106" i="8" s="1"/>
  <c r="L94" i="8"/>
  <c r="L106" i="8" s="1"/>
  <c r="K90" i="8"/>
  <c r="I90" i="8"/>
  <c r="H90" i="8"/>
  <c r="H89" i="8" s="1"/>
  <c r="G90" i="8"/>
  <c r="G89" i="8" s="1"/>
  <c r="K89" i="8"/>
  <c r="K84" i="8"/>
  <c r="K86" i="8" s="1"/>
  <c r="I84" i="8"/>
  <c r="I86" i="8" s="1"/>
  <c r="H84" i="8"/>
  <c r="H86" i="8" s="1"/>
  <c r="G84" i="8"/>
  <c r="G86" i="8" s="1"/>
  <c r="K77" i="8"/>
  <c r="G77" i="8"/>
  <c r="K74" i="8"/>
  <c r="I74" i="8"/>
  <c r="H74" i="8"/>
  <c r="G74" i="8"/>
  <c r="K71" i="8"/>
  <c r="I71" i="8"/>
  <c r="H71" i="8"/>
  <c r="G71" i="8"/>
  <c r="I65" i="8"/>
  <c r="H65" i="8"/>
  <c r="G65" i="8"/>
  <c r="K60" i="8"/>
  <c r="K58" i="8" s="1"/>
  <c r="I60" i="8"/>
  <c r="I58" i="8" s="1"/>
  <c r="H60" i="8"/>
  <c r="H58" i="8" s="1"/>
  <c r="G60" i="8"/>
  <c r="G58" i="8" s="1"/>
  <c r="N58" i="8"/>
  <c r="M58" i="8"/>
  <c r="L58" i="8"/>
  <c r="J58" i="8"/>
  <c r="G57" i="8"/>
  <c r="J57" i="8" s="1"/>
  <c r="J56" i="8"/>
  <c r="J55" i="8"/>
  <c r="J54" i="8"/>
  <c r="J53" i="8"/>
  <c r="I52" i="8"/>
  <c r="H52" i="8"/>
  <c r="G52" i="8"/>
  <c r="J50" i="8"/>
  <c r="J49" i="8"/>
  <c r="J48" i="8"/>
  <c r="K44" i="8"/>
  <c r="I44" i="8"/>
  <c r="I42" i="8" s="1"/>
  <c r="H44" i="8"/>
  <c r="H42" i="8" s="1"/>
  <c r="G44" i="8"/>
  <c r="G42" i="8" s="1"/>
  <c r="M42" i="8"/>
  <c r="M52" i="8" s="1"/>
  <c r="N52" i="8" s="1"/>
  <c r="L42" i="8"/>
  <c r="K42" i="8"/>
  <c r="K37" i="8"/>
  <c r="K39" i="8" s="1"/>
  <c r="I37" i="8"/>
  <c r="H37" i="8"/>
  <c r="H39" i="8" s="1"/>
  <c r="G37" i="8"/>
  <c r="G39" i="8" s="1"/>
  <c r="N34" i="8"/>
  <c r="J34" i="8"/>
  <c r="K28" i="8"/>
  <c r="I28" i="8"/>
  <c r="H28" i="8"/>
  <c r="H26" i="8" s="1"/>
  <c r="G28" i="8"/>
  <c r="G26" i="8" s="1"/>
  <c r="J27" i="8"/>
  <c r="M26" i="8"/>
  <c r="L26" i="8"/>
  <c r="K26" i="8"/>
  <c r="M22" i="8"/>
  <c r="N22" i="8" s="1"/>
  <c r="L22" i="8"/>
  <c r="G20" i="8"/>
  <c r="J20" i="8" s="1"/>
  <c r="I14" i="8"/>
  <c r="H14" i="8"/>
  <c r="H13" i="8" s="1"/>
  <c r="G14" i="8"/>
  <c r="M13" i="8"/>
  <c r="L13" i="8"/>
  <c r="K13" i="8"/>
  <c r="I13" i="8"/>
  <c r="K11" i="8"/>
  <c r="I11" i="8"/>
  <c r="I9" i="8" s="1"/>
  <c r="H11" i="8"/>
  <c r="H9" i="8" s="1"/>
  <c r="G11" i="8"/>
  <c r="G9" i="8" s="1"/>
  <c r="M9" i="8"/>
  <c r="L9" i="8"/>
  <c r="K9" i="8"/>
  <c r="J28" i="8" l="1"/>
  <c r="I26" i="8"/>
  <c r="L213" i="8"/>
  <c r="M139" i="8"/>
  <c r="H94" i="8"/>
  <c r="H106" i="8" s="1"/>
  <c r="G177" i="8"/>
  <c r="J177" i="8" s="1"/>
  <c r="N184" i="8"/>
  <c r="G152" i="8"/>
  <c r="G151" i="8" s="1"/>
  <c r="J151" i="8" s="1"/>
  <c r="N181" i="8"/>
  <c r="M177" i="8"/>
  <c r="L177" i="8"/>
  <c r="J94" i="8"/>
  <c r="J164" i="8"/>
  <c r="J26" i="8"/>
  <c r="K139" i="8"/>
  <c r="J189" i="8"/>
  <c r="J218" i="8"/>
  <c r="L23" i="8"/>
  <c r="G13" i="8"/>
  <c r="G23" i="8" s="1"/>
  <c r="J101" i="8"/>
  <c r="G110" i="8"/>
  <c r="G109" i="8" s="1"/>
  <c r="J159" i="8"/>
  <c r="H203" i="8"/>
  <c r="N199" i="8"/>
  <c r="K213" i="8"/>
  <c r="M213" i="8"/>
  <c r="K109" i="8"/>
  <c r="N109" i="8" s="1"/>
  <c r="I64" i="8"/>
  <c r="I81" i="8" s="1"/>
  <c r="H64" i="8"/>
  <c r="G64" i="8"/>
  <c r="H81" i="8"/>
  <c r="K81" i="8"/>
  <c r="K23" i="8"/>
  <c r="M23" i="8"/>
  <c r="H23" i="8"/>
  <c r="G81" i="8"/>
  <c r="L81" i="8"/>
  <c r="M81" i="8"/>
  <c r="K106" i="8"/>
  <c r="N94" i="8"/>
  <c r="J133" i="8"/>
  <c r="J167" i="8"/>
  <c r="H167" i="8"/>
  <c r="N177" i="8"/>
  <c r="J187" i="8"/>
  <c r="J206" i="8"/>
  <c r="J213" i="8" s="1"/>
  <c r="N206" i="8"/>
  <c r="N213" i="8" s="1"/>
  <c r="J216" i="8"/>
  <c r="I109" i="8"/>
  <c r="I191" i="8" s="1"/>
  <c r="H109" i="8"/>
  <c r="J9" i="8"/>
  <c r="I23" i="8"/>
  <c r="I39" i="8"/>
  <c r="J37" i="8"/>
  <c r="J39" i="8" s="1"/>
  <c r="J42" i="8"/>
  <c r="J44" i="8"/>
  <c r="J86" i="8"/>
  <c r="J122" i="8"/>
  <c r="J110" i="8" s="1"/>
  <c r="J174" i="8"/>
  <c r="I203" i="8"/>
  <c r="J194" i="8"/>
  <c r="J199" i="8"/>
  <c r="N42" i="8"/>
  <c r="N81" i="8" s="1"/>
  <c r="J52" i="8"/>
  <c r="G106" i="8"/>
  <c r="J90" i="8"/>
  <c r="I89" i="8"/>
  <c r="N120" i="8"/>
  <c r="N122" i="8"/>
  <c r="J125" i="8"/>
  <c r="N125" i="8"/>
  <c r="N133" i="8"/>
  <c r="L139" i="8"/>
  <c r="N159" i="8"/>
  <c r="N167" i="8"/>
  <c r="N174" i="8"/>
  <c r="G203" i="8"/>
  <c r="M203" i="8"/>
  <c r="N194" i="8"/>
  <c r="M26" i="3"/>
  <c r="K26" i="3"/>
  <c r="L26" i="3"/>
  <c r="N34" i="3"/>
  <c r="J34" i="3"/>
  <c r="G191" i="8" l="1"/>
  <c r="J191" i="8" s="1"/>
  <c r="M191" i="8"/>
  <c r="J13" i="8"/>
  <c r="H191" i="8"/>
  <c r="H219" i="8" s="1"/>
  <c r="N23" i="8"/>
  <c r="K191" i="8"/>
  <c r="N191" i="8" s="1"/>
  <c r="J109" i="8"/>
  <c r="L191" i="8"/>
  <c r="L219" i="8" s="1"/>
  <c r="N203" i="8"/>
  <c r="J81" i="8"/>
  <c r="J23" i="8"/>
  <c r="I106" i="8"/>
  <c r="J106" i="8" s="1"/>
  <c r="J89" i="8"/>
  <c r="J203" i="8"/>
  <c r="M219" i="8"/>
  <c r="I14" i="3"/>
  <c r="I13" i="3" s="1"/>
  <c r="H14" i="3"/>
  <c r="H13" i="3" s="1"/>
  <c r="G14" i="3"/>
  <c r="I28" i="3"/>
  <c r="I26" i="3" s="1"/>
  <c r="H28" i="3"/>
  <c r="H26" i="3" s="1"/>
  <c r="I52" i="3"/>
  <c r="H52" i="3"/>
  <c r="G52" i="3"/>
  <c r="I44" i="3"/>
  <c r="I42" i="3" s="1"/>
  <c r="H44" i="3"/>
  <c r="H42" i="3" s="1"/>
  <c r="G44" i="3"/>
  <c r="G42" i="3" s="1"/>
  <c r="I101" i="3"/>
  <c r="H101" i="3"/>
  <c r="G101" i="3"/>
  <c r="I96" i="3"/>
  <c r="H96" i="3"/>
  <c r="G96" i="3"/>
  <c r="I99" i="3"/>
  <c r="H99" i="3"/>
  <c r="I90" i="3"/>
  <c r="H90" i="3"/>
  <c r="G90" i="3"/>
  <c r="H89" i="3"/>
  <c r="G89" i="3"/>
  <c r="K183" i="3"/>
  <c r="M183" i="3"/>
  <c r="L183" i="3"/>
  <c r="K175" i="3"/>
  <c r="M141" i="3"/>
  <c r="L141" i="3"/>
  <c r="K141" i="3"/>
  <c r="H110" i="3"/>
  <c r="I126" i="3"/>
  <c r="G126" i="3"/>
  <c r="I141" i="3"/>
  <c r="G141" i="3"/>
  <c r="M156" i="3"/>
  <c r="M159" i="3"/>
  <c r="L159" i="3"/>
  <c r="K159" i="3"/>
  <c r="M162" i="3"/>
  <c r="L162" i="3"/>
  <c r="K162" i="3"/>
  <c r="I168" i="3"/>
  <c r="I167" i="3" s="1"/>
  <c r="H168" i="3"/>
  <c r="H167" i="3" s="1"/>
  <c r="G180" i="3"/>
  <c r="I183" i="3"/>
  <c r="G183" i="3"/>
  <c r="G219" i="8" l="1"/>
  <c r="H94" i="3"/>
  <c r="H106" i="3" s="1"/>
  <c r="I94" i="3"/>
  <c r="K219" i="8"/>
  <c r="N219" i="8" s="1"/>
  <c r="I219" i="8"/>
  <c r="J219" i="8" s="1"/>
  <c r="I193" i="3"/>
  <c r="H193" i="3"/>
  <c r="I205" i="3"/>
  <c r="H205" i="3"/>
  <c r="M215" i="3"/>
  <c r="L215" i="3"/>
  <c r="K215" i="3"/>
  <c r="M210" i="3"/>
  <c r="L210" i="3"/>
  <c r="K210" i="3"/>
  <c r="K219" i="3" s="1"/>
  <c r="M225" i="3"/>
  <c r="L225" i="3"/>
  <c r="K225" i="3"/>
  <c r="M222" i="3"/>
  <c r="L222" i="3"/>
  <c r="K222" i="3"/>
  <c r="K229" i="3"/>
  <c r="G174" i="3" l="1"/>
  <c r="G171" i="3"/>
  <c r="I225" i="3"/>
  <c r="H225" i="3"/>
  <c r="G225" i="3"/>
  <c r="I222" i="3"/>
  <c r="H222" i="3"/>
  <c r="G222" i="3"/>
  <c r="G229" i="3" l="1"/>
  <c r="H229" i="3"/>
  <c r="G168" i="3"/>
  <c r="G167" i="3" s="1"/>
  <c r="I229" i="3"/>
  <c r="M42" i="3"/>
  <c r="L42" i="3"/>
  <c r="M52" i="3"/>
  <c r="N52" i="3" s="1"/>
  <c r="G99" i="3" l="1"/>
  <c r="G94" i="3" s="1"/>
  <c r="G106" i="3" s="1"/>
  <c r="I84" i="3"/>
  <c r="I71" i="3" l="1"/>
  <c r="H71" i="3"/>
  <c r="G71" i="3"/>
  <c r="M154" i="3" l="1"/>
  <c r="M149" i="3" s="1"/>
  <c r="L154" i="3"/>
  <c r="L156" i="3"/>
  <c r="L149" i="3" l="1"/>
  <c r="K135" i="3"/>
  <c r="K137" i="3"/>
  <c r="K126" i="3" l="1"/>
  <c r="M135" i="3"/>
  <c r="M126" i="3" s="1"/>
  <c r="L135" i="3"/>
  <c r="H185" i="3"/>
  <c r="H184" i="3"/>
  <c r="H127" i="3"/>
  <c r="H129" i="3"/>
  <c r="H183" i="3" l="1"/>
  <c r="H126" i="3"/>
  <c r="I113" i="3"/>
  <c r="I110" i="3" s="1"/>
  <c r="L121" i="3" l="1"/>
  <c r="M221" i="7" l="1"/>
  <c r="L221" i="7"/>
  <c r="J220" i="7"/>
  <c r="K219" i="7"/>
  <c r="K221" i="7" s="1"/>
  <c r="I219" i="7"/>
  <c r="I221" i="7" s="1"/>
  <c r="H219" i="7"/>
  <c r="H221" i="7" s="1"/>
  <c r="G219" i="7"/>
  <c r="G221" i="7" s="1"/>
  <c r="N213" i="7"/>
  <c r="M213" i="7"/>
  <c r="L213" i="7"/>
  <c r="K213" i="7"/>
  <c r="J213" i="7"/>
  <c r="I213" i="7"/>
  <c r="H213" i="7"/>
  <c r="G213" i="7"/>
  <c r="J212" i="7"/>
  <c r="J211" i="7"/>
  <c r="M210" i="7"/>
  <c r="M216" i="7" s="1"/>
  <c r="L210" i="7"/>
  <c r="L216" i="7" s="1"/>
  <c r="K210" i="7"/>
  <c r="K216" i="7" s="1"/>
  <c r="I210" i="7"/>
  <c r="I216" i="7" s="1"/>
  <c r="H210" i="7"/>
  <c r="H216" i="7" s="1"/>
  <c r="G210" i="7"/>
  <c r="G216" i="7" s="1"/>
  <c r="J206" i="7"/>
  <c r="N205" i="7"/>
  <c r="N204" i="7"/>
  <c r="M203" i="7"/>
  <c r="L203" i="7"/>
  <c r="K203" i="7"/>
  <c r="I203" i="7"/>
  <c r="H203" i="7"/>
  <c r="G203" i="7"/>
  <c r="H201" i="7"/>
  <c r="I200" i="7"/>
  <c r="I198" i="7" s="1"/>
  <c r="I207" i="7" s="1"/>
  <c r="H199" i="7"/>
  <c r="M198" i="7"/>
  <c r="L198" i="7"/>
  <c r="K198" i="7"/>
  <c r="H198" i="7"/>
  <c r="H207" i="7" s="1"/>
  <c r="G198" i="7"/>
  <c r="G207" i="7" s="1"/>
  <c r="J194" i="7"/>
  <c r="I193" i="7"/>
  <c r="H193" i="7"/>
  <c r="G193" i="7"/>
  <c r="I191" i="7"/>
  <c r="H191" i="7"/>
  <c r="G191" i="7"/>
  <c r="M188" i="7"/>
  <c r="L188" i="7"/>
  <c r="K188" i="7"/>
  <c r="G188" i="7"/>
  <c r="K186" i="7"/>
  <c r="K185" i="7" s="1"/>
  <c r="K183" i="7" s="1"/>
  <c r="M185" i="7"/>
  <c r="L185" i="7"/>
  <c r="L183" i="7" s="1"/>
  <c r="G185" i="7"/>
  <c r="I183" i="7"/>
  <c r="H183" i="7"/>
  <c r="M180" i="7"/>
  <c r="L180" i="7"/>
  <c r="K180" i="7"/>
  <c r="I180" i="7"/>
  <c r="H180" i="7"/>
  <c r="G180" i="7"/>
  <c r="I177" i="7"/>
  <c r="H177" i="7"/>
  <c r="I176" i="7"/>
  <c r="I175" i="7" s="1"/>
  <c r="H176" i="7"/>
  <c r="M175" i="7"/>
  <c r="L175" i="7"/>
  <c r="K175" i="7"/>
  <c r="H175" i="7"/>
  <c r="G175" i="7"/>
  <c r="J175" i="7" s="1"/>
  <c r="I173" i="7"/>
  <c r="H173" i="7"/>
  <c r="L172" i="7"/>
  <c r="K172" i="7"/>
  <c r="N172" i="7" s="1"/>
  <c r="I172" i="7"/>
  <c r="H172" i="7"/>
  <c r="G172" i="7"/>
  <c r="I170" i="7"/>
  <c r="H170" i="7"/>
  <c r="G170" i="7"/>
  <c r="I169" i="7"/>
  <c r="I167" i="7" s="1"/>
  <c r="H169" i="7"/>
  <c r="H167" i="7" s="1"/>
  <c r="M167" i="7"/>
  <c r="L167" i="7"/>
  <c r="K167" i="7"/>
  <c r="G167" i="7"/>
  <c r="J167" i="7" s="1"/>
  <c r="I165" i="7"/>
  <c r="K160" i="7"/>
  <c r="I160" i="7"/>
  <c r="I159" i="7" s="1"/>
  <c r="H160" i="7"/>
  <c r="H159" i="7" s="1"/>
  <c r="G160" i="7"/>
  <c r="G159" i="7"/>
  <c r="M155" i="7"/>
  <c r="L155" i="7"/>
  <c r="K155" i="7"/>
  <c r="G155" i="7"/>
  <c r="M152" i="7"/>
  <c r="L152" i="7"/>
  <c r="K152" i="7"/>
  <c r="G152" i="7"/>
  <c r="M149" i="7"/>
  <c r="L149" i="7"/>
  <c r="K149" i="7"/>
  <c r="M147" i="7"/>
  <c r="M142" i="7" s="1"/>
  <c r="L147" i="7"/>
  <c r="K147" i="7"/>
  <c r="K142" i="7" s="1"/>
  <c r="G147" i="7"/>
  <c r="N142" i="7"/>
  <c r="G142" i="7"/>
  <c r="H136" i="7"/>
  <c r="H134" i="7" s="1"/>
  <c r="M134" i="7"/>
  <c r="L134" i="7"/>
  <c r="K134" i="7"/>
  <c r="I134" i="7"/>
  <c r="G134" i="7"/>
  <c r="N133" i="7"/>
  <c r="N132" i="7"/>
  <c r="N131" i="7"/>
  <c r="K130" i="7"/>
  <c r="L130" i="7" s="1"/>
  <c r="N129" i="7"/>
  <c r="N128" i="7"/>
  <c r="L128" i="7"/>
  <c r="N127" i="7"/>
  <c r="G125" i="7"/>
  <c r="H124" i="7"/>
  <c r="G124" i="7"/>
  <c r="I122" i="7"/>
  <c r="H122" i="7"/>
  <c r="I121" i="7"/>
  <c r="H121" i="7"/>
  <c r="G121" i="7"/>
  <c r="I120" i="7"/>
  <c r="H120" i="7"/>
  <c r="M119" i="7"/>
  <c r="K119" i="7"/>
  <c r="M116" i="7"/>
  <c r="L116" i="7"/>
  <c r="K116" i="7"/>
  <c r="I116" i="7"/>
  <c r="H116" i="7"/>
  <c r="G116" i="7"/>
  <c r="M114" i="7"/>
  <c r="L114" i="7"/>
  <c r="K114" i="7"/>
  <c r="G114" i="7"/>
  <c r="G111" i="7"/>
  <c r="G108" i="7"/>
  <c r="G105" i="7" s="1"/>
  <c r="I105" i="7"/>
  <c r="H105" i="7"/>
  <c r="I98" i="7"/>
  <c r="H98" i="7"/>
  <c r="G98" i="7"/>
  <c r="I96" i="7"/>
  <c r="H96" i="7"/>
  <c r="G96" i="7"/>
  <c r="K93" i="7"/>
  <c r="K91" i="7" s="1"/>
  <c r="I93" i="7"/>
  <c r="H93" i="7"/>
  <c r="H91" i="7" s="1"/>
  <c r="G93" i="7"/>
  <c r="J92" i="7"/>
  <c r="M91" i="7"/>
  <c r="L91" i="7"/>
  <c r="L101" i="7" s="1"/>
  <c r="I91" i="7"/>
  <c r="G91" i="7"/>
  <c r="K87" i="7"/>
  <c r="I87" i="7"/>
  <c r="I86" i="7" s="1"/>
  <c r="J86" i="7" s="1"/>
  <c r="G87" i="7"/>
  <c r="G86" i="7" s="1"/>
  <c r="K86" i="7"/>
  <c r="H86" i="7"/>
  <c r="K81" i="7"/>
  <c r="K83" i="7" s="1"/>
  <c r="I81" i="7"/>
  <c r="I83" i="7" s="1"/>
  <c r="H81" i="7"/>
  <c r="H83" i="7" s="1"/>
  <c r="G81" i="7"/>
  <c r="G83" i="7" s="1"/>
  <c r="K74" i="7"/>
  <c r="I74" i="7"/>
  <c r="H74" i="7"/>
  <c r="G74" i="7"/>
  <c r="K71" i="7"/>
  <c r="I71" i="7"/>
  <c r="H71" i="7"/>
  <c r="G71" i="7"/>
  <c r="K68" i="7"/>
  <c r="G68" i="7"/>
  <c r="I62" i="7"/>
  <c r="H62" i="7"/>
  <c r="G62" i="7"/>
  <c r="K57" i="7"/>
  <c r="K55" i="7" s="1"/>
  <c r="I57" i="7"/>
  <c r="H57" i="7"/>
  <c r="H55" i="7" s="1"/>
  <c r="G57" i="7"/>
  <c r="N55" i="7"/>
  <c r="N78" i="7" s="1"/>
  <c r="M55" i="7"/>
  <c r="M78" i="7" s="1"/>
  <c r="L55" i="7"/>
  <c r="L78" i="7" s="1"/>
  <c r="J55" i="7"/>
  <c r="I55" i="7"/>
  <c r="G55" i="7"/>
  <c r="G54" i="7"/>
  <c r="J54" i="7" s="1"/>
  <c r="J53" i="7"/>
  <c r="J52" i="7"/>
  <c r="J51" i="7"/>
  <c r="J50" i="7"/>
  <c r="K49" i="7"/>
  <c r="I49" i="7"/>
  <c r="H49" i="7"/>
  <c r="G49" i="7"/>
  <c r="J48" i="7"/>
  <c r="J47" i="7"/>
  <c r="J46" i="7"/>
  <c r="K42" i="7"/>
  <c r="K40" i="7" s="1"/>
  <c r="G42" i="7"/>
  <c r="J42" i="7" s="1"/>
  <c r="I40" i="7"/>
  <c r="H40" i="7"/>
  <c r="G40" i="7"/>
  <c r="K35" i="7"/>
  <c r="K37" i="7" s="1"/>
  <c r="I35" i="7"/>
  <c r="H35" i="7"/>
  <c r="H37" i="7" s="1"/>
  <c r="G35" i="7"/>
  <c r="G37" i="7" s="1"/>
  <c r="K27" i="7"/>
  <c r="I27" i="7"/>
  <c r="H27" i="7"/>
  <c r="G27" i="7"/>
  <c r="G25" i="7" s="1"/>
  <c r="J26" i="7"/>
  <c r="K25" i="7"/>
  <c r="H25" i="7"/>
  <c r="M21" i="7"/>
  <c r="N21" i="7" s="1"/>
  <c r="L21" i="7"/>
  <c r="G19" i="7"/>
  <c r="J19" i="7" s="1"/>
  <c r="I14" i="7"/>
  <c r="H14" i="7"/>
  <c r="H13" i="7" s="1"/>
  <c r="G14" i="7"/>
  <c r="M13" i="7"/>
  <c r="L13" i="7"/>
  <c r="K13" i="7"/>
  <c r="I13" i="7"/>
  <c r="K11" i="7"/>
  <c r="I11" i="7"/>
  <c r="I9" i="7" s="1"/>
  <c r="H11" i="7"/>
  <c r="G11" i="7"/>
  <c r="G9" i="7" s="1"/>
  <c r="M9" i="7"/>
  <c r="L9" i="7"/>
  <c r="K9" i="7"/>
  <c r="J9" i="7"/>
  <c r="H9" i="7"/>
  <c r="J219" i="7" l="1"/>
  <c r="J210" i="7"/>
  <c r="J216" i="7" s="1"/>
  <c r="N210" i="7"/>
  <c r="N216" i="7" s="1"/>
  <c r="J27" i="7"/>
  <c r="J49" i="7"/>
  <c r="G13" i="7"/>
  <c r="G22" i="7" s="1"/>
  <c r="I25" i="7"/>
  <c r="J25" i="7" s="1"/>
  <c r="I61" i="7"/>
  <c r="G119" i="7"/>
  <c r="N167" i="7"/>
  <c r="G183" i="7"/>
  <c r="L207" i="7"/>
  <c r="K101" i="7"/>
  <c r="N175" i="7"/>
  <c r="N180" i="7"/>
  <c r="L22" i="7"/>
  <c r="K22" i="7"/>
  <c r="M22" i="7"/>
  <c r="H22" i="7"/>
  <c r="H61" i="7"/>
  <c r="H78" i="7" s="1"/>
  <c r="G61" i="7"/>
  <c r="H101" i="7"/>
  <c r="G101" i="7"/>
  <c r="J134" i="7"/>
  <c r="J180" i="7"/>
  <c r="J183" i="7"/>
  <c r="K207" i="7"/>
  <c r="M207" i="7"/>
  <c r="K78" i="7"/>
  <c r="G104" i="7"/>
  <c r="G195" i="7" s="1"/>
  <c r="G78" i="7"/>
  <c r="H119" i="7"/>
  <c r="H104" i="7" s="1"/>
  <c r="H195" i="7" s="1"/>
  <c r="I119" i="7"/>
  <c r="J119" i="7" s="1"/>
  <c r="L119" i="7"/>
  <c r="L104" i="7" s="1"/>
  <c r="J198" i="7"/>
  <c r="N198" i="7"/>
  <c r="J207" i="7"/>
  <c r="N203" i="7"/>
  <c r="I22" i="7"/>
  <c r="J13" i="7"/>
  <c r="I37" i="7"/>
  <c r="J35" i="7"/>
  <c r="J37" i="7" s="1"/>
  <c r="J40" i="7"/>
  <c r="J78" i="7" s="1"/>
  <c r="I78" i="7"/>
  <c r="J83" i="7"/>
  <c r="J87" i="7"/>
  <c r="N91" i="7"/>
  <c r="J116" i="7"/>
  <c r="J105" i="7" s="1"/>
  <c r="J159" i="7"/>
  <c r="J172" i="7"/>
  <c r="N185" i="7"/>
  <c r="M183" i="7"/>
  <c r="N183" i="7" s="1"/>
  <c r="J191" i="7"/>
  <c r="J221" i="7"/>
  <c r="J91" i="7"/>
  <c r="J98" i="7"/>
  <c r="I101" i="7"/>
  <c r="J101" i="7" s="1"/>
  <c r="M101" i="7"/>
  <c r="K104" i="7"/>
  <c r="K195" i="7" s="1"/>
  <c r="N114" i="7"/>
  <c r="M104" i="7"/>
  <c r="N116" i="7"/>
  <c r="N130" i="7"/>
  <c r="N119" i="7" s="1"/>
  <c r="N134" i="7"/>
  <c r="L142" i="7"/>
  <c r="L195" i="7" s="1"/>
  <c r="L222" i="7" s="1"/>
  <c r="N149" i="7"/>
  <c r="N188" i="7"/>
  <c r="J193" i="7"/>
  <c r="J203" i="7"/>
  <c r="H222" i="7" l="1"/>
  <c r="G222" i="7"/>
  <c r="N22" i="7"/>
  <c r="K222" i="7"/>
  <c r="I104" i="7"/>
  <c r="J104" i="7" s="1"/>
  <c r="N207" i="7"/>
  <c r="I195" i="7"/>
  <c r="J195" i="7" s="1"/>
  <c r="J22" i="7"/>
  <c r="M195" i="7"/>
  <c r="N195" i="7" s="1"/>
  <c r="N104" i="7"/>
  <c r="H65" i="3"/>
  <c r="I222" i="7" l="1"/>
  <c r="J222" i="7" s="1"/>
  <c r="M222" i="7"/>
  <c r="N222" i="7" s="1"/>
  <c r="I177" i="3" l="1"/>
  <c r="I181" i="3"/>
  <c r="I180" i="3" s="1"/>
  <c r="I212" i="3"/>
  <c r="G123" i="3" l="1"/>
  <c r="H123" i="3" l="1"/>
  <c r="I123" i="3"/>
  <c r="J123" i="3" l="1"/>
  <c r="I109" i="3"/>
  <c r="L137" i="3"/>
  <c r="L126" i="3" s="1"/>
  <c r="H181" i="3" l="1"/>
  <c r="H180" i="3" s="1"/>
  <c r="M22" i="3" l="1"/>
  <c r="M222" i="5" l="1"/>
  <c r="L222" i="5"/>
  <c r="J221" i="5"/>
  <c r="K220" i="5"/>
  <c r="K222" i="5" s="1"/>
  <c r="I220" i="5"/>
  <c r="I222" i="5" s="1"/>
  <c r="H220" i="5"/>
  <c r="H222" i="5" s="1"/>
  <c r="G220" i="5"/>
  <c r="G222" i="5" s="1"/>
  <c r="N214" i="5"/>
  <c r="M214" i="5"/>
  <c r="L214" i="5"/>
  <c r="K214" i="5"/>
  <c r="J214" i="5"/>
  <c r="I214" i="5"/>
  <c r="H214" i="5"/>
  <c r="G214" i="5"/>
  <c r="J213" i="5"/>
  <c r="J212" i="5"/>
  <c r="M211" i="5"/>
  <c r="L211" i="5"/>
  <c r="K211" i="5"/>
  <c r="I211" i="5"/>
  <c r="I217" i="5" s="1"/>
  <c r="H211" i="5"/>
  <c r="H217" i="5" s="1"/>
  <c r="G211" i="5"/>
  <c r="G217" i="5" s="1"/>
  <c r="J207" i="5"/>
  <c r="J204" i="5" s="1"/>
  <c r="N206" i="5"/>
  <c r="N205" i="5"/>
  <c r="M204" i="5"/>
  <c r="L204" i="5"/>
  <c r="K204" i="5"/>
  <c r="I204" i="5"/>
  <c r="H204" i="5"/>
  <c r="G204" i="5"/>
  <c r="H200" i="5"/>
  <c r="M199" i="5"/>
  <c r="L199" i="5"/>
  <c r="K199" i="5"/>
  <c r="J199" i="5"/>
  <c r="I199" i="5"/>
  <c r="I208" i="5" s="1"/>
  <c r="H199" i="5"/>
  <c r="H208" i="5" s="1"/>
  <c r="G199" i="5"/>
  <c r="G208" i="5" s="1"/>
  <c r="J195" i="5"/>
  <c r="I194" i="5"/>
  <c r="H194" i="5"/>
  <c r="G194" i="5"/>
  <c r="I192" i="5"/>
  <c r="H192" i="5"/>
  <c r="G192" i="5"/>
  <c r="M189" i="5"/>
  <c r="L189" i="5"/>
  <c r="K189" i="5"/>
  <c r="G189" i="5"/>
  <c r="K187" i="5"/>
  <c r="K186" i="5" s="1"/>
  <c r="K184" i="5" s="1"/>
  <c r="M186" i="5"/>
  <c r="L186" i="5"/>
  <c r="G186" i="5"/>
  <c r="G184" i="5" s="1"/>
  <c r="I184" i="5"/>
  <c r="H184" i="5"/>
  <c r="M181" i="5"/>
  <c r="L181" i="5"/>
  <c r="K181" i="5"/>
  <c r="I181" i="5"/>
  <c r="H181" i="5"/>
  <c r="G181" i="5"/>
  <c r="H177" i="5"/>
  <c r="M176" i="5"/>
  <c r="L176" i="5"/>
  <c r="K176" i="5"/>
  <c r="I176" i="5"/>
  <c r="H176" i="5"/>
  <c r="G176" i="5"/>
  <c r="J176" i="5" s="1"/>
  <c r="H174" i="5"/>
  <c r="H173" i="5" s="1"/>
  <c r="L173" i="5"/>
  <c r="K173" i="5"/>
  <c r="N173" i="5" s="1"/>
  <c r="I173" i="5"/>
  <c r="G173" i="5"/>
  <c r="I171" i="5"/>
  <c r="H171" i="5"/>
  <c r="G171" i="5"/>
  <c r="H170" i="5"/>
  <c r="H168" i="5" s="1"/>
  <c r="M168" i="5"/>
  <c r="L168" i="5"/>
  <c r="K168" i="5"/>
  <c r="N168" i="5" s="1"/>
  <c r="I168" i="5"/>
  <c r="G168" i="5"/>
  <c r="I166" i="5"/>
  <c r="K161" i="5"/>
  <c r="I161" i="5"/>
  <c r="I160" i="5" s="1"/>
  <c r="H161" i="5"/>
  <c r="G161" i="5"/>
  <c r="G160" i="5" s="1"/>
  <c r="H160" i="5"/>
  <c r="M156" i="5"/>
  <c r="L156" i="5"/>
  <c r="K156" i="5"/>
  <c r="G156" i="5"/>
  <c r="M153" i="5"/>
  <c r="L153" i="5"/>
  <c r="K153" i="5"/>
  <c r="G153" i="5"/>
  <c r="M150" i="5"/>
  <c r="L150" i="5"/>
  <c r="K150" i="5"/>
  <c r="M148" i="5"/>
  <c r="L148" i="5"/>
  <c r="K148" i="5"/>
  <c r="G148" i="5"/>
  <c r="N143" i="5"/>
  <c r="G143" i="5"/>
  <c r="H137" i="5"/>
  <c r="H135" i="5" s="1"/>
  <c r="M135" i="5"/>
  <c r="L135" i="5"/>
  <c r="K135" i="5"/>
  <c r="I135" i="5"/>
  <c r="G135" i="5"/>
  <c r="N134" i="5"/>
  <c r="N133" i="5"/>
  <c r="N132" i="5"/>
  <c r="N131" i="5"/>
  <c r="N130" i="5"/>
  <c r="N129" i="5"/>
  <c r="N128" i="5"/>
  <c r="L128" i="5"/>
  <c r="L119" i="5" s="1"/>
  <c r="N127" i="5"/>
  <c r="G125" i="5"/>
  <c r="H124" i="5"/>
  <c r="G124" i="5"/>
  <c r="G119" i="5" s="1"/>
  <c r="H122" i="5"/>
  <c r="M119" i="5"/>
  <c r="K119" i="5"/>
  <c r="I119" i="5"/>
  <c r="H119" i="5"/>
  <c r="M116" i="5"/>
  <c r="L116" i="5"/>
  <c r="K116" i="5"/>
  <c r="G116" i="5"/>
  <c r="M114" i="5"/>
  <c r="L114" i="5"/>
  <c r="K114" i="5"/>
  <c r="G114" i="5"/>
  <c r="G111" i="5"/>
  <c r="G105" i="5" s="1"/>
  <c r="G108" i="5"/>
  <c r="J105" i="5"/>
  <c r="I105" i="5"/>
  <c r="H105" i="5"/>
  <c r="I98" i="5"/>
  <c r="H98" i="5"/>
  <c r="G98" i="5"/>
  <c r="I96" i="5"/>
  <c r="H96" i="5"/>
  <c r="G96" i="5"/>
  <c r="K93" i="5"/>
  <c r="K91" i="5" s="1"/>
  <c r="I93" i="5"/>
  <c r="I91" i="5" s="1"/>
  <c r="H93" i="5"/>
  <c r="H91" i="5" s="1"/>
  <c r="G93" i="5"/>
  <c r="G91" i="5" s="1"/>
  <c r="J92" i="5"/>
  <c r="M91" i="5"/>
  <c r="M101" i="5" s="1"/>
  <c r="L91" i="5"/>
  <c r="L101" i="5" s="1"/>
  <c r="K87" i="5"/>
  <c r="I87" i="5"/>
  <c r="H87" i="5"/>
  <c r="G87" i="5"/>
  <c r="K86" i="5"/>
  <c r="I86" i="5"/>
  <c r="H86" i="5"/>
  <c r="G86" i="5"/>
  <c r="K81" i="5"/>
  <c r="K83" i="5" s="1"/>
  <c r="I81" i="5"/>
  <c r="I83" i="5" s="1"/>
  <c r="H81" i="5"/>
  <c r="H83" i="5" s="1"/>
  <c r="G81" i="5"/>
  <c r="G83" i="5" s="1"/>
  <c r="K74" i="5"/>
  <c r="I74" i="5"/>
  <c r="H74" i="5"/>
  <c r="G74" i="5"/>
  <c r="K71" i="5"/>
  <c r="I71" i="5"/>
  <c r="H71" i="5"/>
  <c r="G71" i="5"/>
  <c r="K68" i="5"/>
  <c r="G68" i="5"/>
  <c r="I62" i="5"/>
  <c r="H62" i="5"/>
  <c r="G62" i="5"/>
  <c r="K57" i="5"/>
  <c r="K55" i="5" s="1"/>
  <c r="I57" i="5"/>
  <c r="I55" i="5" s="1"/>
  <c r="H57" i="5"/>
  <c r="G57" i="5"/>
  <c r="G55" i="5" s="1"/>
  <c r="N55" i="5"/>
  <c r="N78" i="5" s="1"/>
  <c r="M55" i="5"/>
  <c r="M78" i="5" s="1"/>
  <c r="L55" i="5"/>
  <c r="L78" i="5" s="1"/>
  <c r="J55" i="5"/>
  <c r="H55" i="5"/>
  <c r="G54" i="5"/>
  <c r="J54" i="5" s="1"/>
  <c r="J53" i="5"/>
  <c r="J52" i="5"/>
  <c r="J51" i="5"/>
  <c r="J50" i="5"/>
  <c r="K49" i="5"/>
  <c r="I49" i="5"/>
  <c r="H49" i="5"/>
  <c r="G49" i="5"/>
  <c r="J48" i="5"/>
  <c r="J47" i="5"/>
  <c r="J46" i="5"/>
  <c r="K42" i="5"/>
  <c r="K40" i="5" s="1"/>
  <c r="I42" i="5"/>
  <c r="H42" i="5"/>
  <c r="G42" i="5"/>
  <c r="G40" i="5" s="1"/>
  <c r="H40" i="5"/>
  <c r="K35" i="5"/>
  <c r="K37" i="5" s="1"/>
  <c r="I35" i="5"/>
  <c r="I37" i="5" s="1"/>
  <c r="H35" i="5"/>
  <c r="H37" i="5" s="1"/>
  <c r="G35" i="5"/>
  <c r="G37" i="5" s="1"/>
  <c r="K27" i="5"/>
  <c r="K25" i="5" s="1"/>
  <c r="I27" i="5"/>
  <c r="H27" i="5"/>
  <c r="H25" i="5" s="1"/>
  <c r="G27" i="5"/>
  <c r="G25" i="5" s="1"/>
  <c r="J26" i="5"/>
  <c r="I25" i="5"/>
  <c r="N21" i="5"/>
  <c r="L21" i="5"/>
  <c r="G19" i="5"/>
  <c r="J19" i="5" s="1"/>
  <c r="I14" i="5"/>
  <c r="H14" i="5"/>
  <c r="G14" i="5"/>
  <c r="M13" i="5"/>
  <c r="L13" i="5"/>
  <c r="K13" i="5"/>
  <c r="I13" i="5"/>
  <c r="H13" i="5"/>
  <c r="K11" i="5"/>
  <c r="I11" i="5"/>
  <c r="H11" i="5"/>
  <c r="G11" i="5"/>
  <c r="M9" i="5"/>
  <c r="L9" i="5"/>
  <c r="K9" i="5"/>
  <c r="I9" i="5"/>
  <c r="H9" i="5"/>
  <c r="G9" i="5"/>
  <c r="L104" i="5" l="1"/>
  <c r="N176" i="5"/>
  <c r="M143" i="5"/>
  <c r="J173" i="5"/>
  <c r="G104" i="5"/>
  <c r="H61" i="5"/>
  <c r="H78" i="5" s="1"/>
  <c r="N119" i="5"/>
  <c r="I104" i="5"/>
  <c r="L143" i="5"/>
  <c r="K143" i="5"/>
  <c r="K104" i="5"/>
  <c r="M104" i="5"/>
  <c r="L184" i="5"/>
  <c r="L208" i="5"/>
  <c r="G13" i="5"/>
  <c r="J13" i="5" s="1"/>
  <c r="J35" i="5"/>
  <c r="J37" i="5" s="1"/>
  <c r="G61" i="5"/>
  <c r="I61" i="5"/>
  <c r="H101" i="5"/>
  <c r="K101" i="5"/>
  <c r="H104" i="5"/>
  <c r="H196" i="5" s="1"/>
  <c r="K208" i="5"/>
  <c r="M208" i="5"/>
  <c r="N204" i="5"/>
  <c r="K217" i="5"/>
  <c r="M217" i="5"/>
  <c r="J220" i="5"/>
  <c r="J91" i="5"/>
  <c r="J160" i="5"/>
  <c r="J9" i="5"/>
  <c r="G22" i="5"/>
  <c r="I22" i="5"/>
  <c r="L22" i="5"/>
  <c r="J25" i="5"/>
  <c r="G78" i="5"/>
  <c r="J42" i="5"/>
  <c r="G196" i="5"/>
  <c r="I196" i="5"/>
  <c r="L196" i="5"/>
  <c r="J119" i="5"/>
  <c r="J135" i="5"/>
  <c r="N150" i="5"/>
  <c r="J181" i="5"/>
  <c r="J184" i="5"/>
  <c r="N189" i="5"/>
  <c r="J194" i="5"/>
  <c r="H22" i="5"/>
  <c r="K22" i="5"/>
  <c r="M22" i="5"/>
  <c r="J27" i="5"/>
  <c r="K78" i="5"/>
  <c r="J49" i="5"/>
  <c r="G101" i="5"/>
  <c r="I101" i="5"/>
  <c r="J87" i="5"/>
  <c r="J98" i="5"/>
  <c r="N114" i="5"/>
  <c r="N116" i="5"/>
  <c r="N135" i="5"/>
  <c r="J168" i="5"/>
  <c r="N181" i="5"/>
  <c r="M184" i="5"/>
  <c r="N184" i="5" s="1"/>
  <c r="N186" i="5"/>
  <c r="J192" i="5"/>
  <c r="J208" i="5"/>
  <c r="L217" i="5"/>
  <c r="J83" i="5"/>
  <c r="J222" i="5"/>
  <c r="I40" i="5"/>
  <c r="J86" i="5"/>
  <c r="N91" i="5"/>
  <c r="N199" i="5"/>
  <c r="J211" i="5"/>
  <c r="J217" i="5" s="1"/>
  <c r="N211" i="5"/>
  <c r="N217" i="5" s="1"/>
  <c r="J104" i="5"/>
  <c r="N208" i="5" l="1"/>
  <c r="K196" i="5"/>
  <c r="K223" i="5" s="1"/>
  <c r="N104" i="5"/>
  <c r="J101" i="5"/>
  <c r="J196" i="5"/>
  <c r="J22" i="5"/>
  <c r="N22" i="5"/>
  <c r="M196" i="5"/>
  <c r="H223" i="5"/>
  <c r="L223" i="5"/>
  <c r="G223" i="5"/>
  <c r="J40" i="5"/>
  <c r="J78" i="5" s="1"/>
  <c r="I78" i="5"/>
  <c r="I223" i="5" s="1"/>
  <c r="J223" i="5" s="1"/>
  <c r="M223" i="5" l="1"/>
  <c r="N223" i="5" s="1"/>
  <c r="N196" i="5"/>
  <c r="J101" i="3" l="1"/>
  <c r="G84" i="3"/>
  <c r="H84" i="3"/>
  <c r="H86" i="3" s="1"/>
  <c r="G74" i="3" l="1"/>
  <c r="G60" i="3"/>
  <c r="G58" i="3" s="1"/>
  <c r="N139" i="3" l="1"/>
  <c r="N135" i="3"/>
  <c r="N136" i="3"/>
  <c r="N137" i="3"/>
  <c r="N138" i="3"/>
  <c r="N140" i="3"/>
  <c r="I210" i="3" l="1"/>
  <c r="G210" i="3"/>
  <c r="J110" i="3"/>
  <c r="J210" i="3" l="1"/>
  <c r="M234" i="3"/>
  <c r="L234" i="3"/>
  <c r="J233" i="3"/>
  <c r="K232" i="3"/>
  <c r="K234" i="3" s="1"/>
  <c r="I232" i="3"/>
  <c r="H232" i="3"/>
  <c r="H234" i="3" s="1"/>
  <c r="G232" i="3"/>
  <c r="G234" i="3" s="1"/>
  <c r="N225" i="3"/>
  <c r="J225" i="3"/>
  <c r="J224" i="3"/>
  <c r="J223" i="3"/>
  <c r="J218" i="3"/>
  <c r="N217" i="3"/>
  <c r="N216" i="3"/>
  <c r="I215" i="3"/>
  <c r="I219" i="3" s="1"/>
  <c r="H215" i="3"/>
  <c r="G215" i="3"/>
  <c r="G219" i="3" s="1"/>
  <c r="H211" i="3"/>
  <c r="J206" i="3"/>
  <c r="G205" i="3"/>
  <c r="I203" i="3"/>
  <c r="H203" i="3"/>
  <c r="G203" i="3"/>
  <c r="J203" i="3" s="1"/>
  <c r="M200" i="3"/>
  <c r="L200" i="3"/>
  <c r="K200" i="3"/>
  <c r="G200" i="3"/>
  <c r="K198" i="3"/>
  <c r="K197" i="3" s="1"/>
  <c r="K193" i="3" s="1"/>
  <c r="M197" i="3"/>
  <c r="L197" i="3"/>
  <c r="L193" i="3" s="1"/>
  <c r="G197" i="3"/>
  <c r="G193" i="3" s="1"/>
  <c r="M190" i="3"/>
  <c r="L190" i="3"/>
  <c r="K190" i="3"/>
  <c r="I190" i="3"/>
  <c r="H190" i="3"/>
  <c r="G190" i="3"/>
  <c r="L180" i="3"/>
  <c r="K180" i="3"/>
  <c r="N180" i="3" s="1"/>
  <c r="I178" i="3"/>
  <c r="H178" i="3"/>
  <c r="G178" i="3"/>
  <c r="H177" i="3"/>
  <c r="H175" i="3" s="1"/>
  <c r="M175" i="3"/>
  <c r="L175" i="3"/>
  <c r="I175" i="3"/>
  <c r="G175" i="3"/>
  <c r="K168" i="3"/>
  <c r="G162" i="3"/>
  <c r="G159" i="3"/>
  <c r="K156" i="3"/>
  <c r="K154" i="3"/>
  <c r="G154" i="3"/>
  <c r="N149" i="3"/>
  <c r="G149" i="3"/>
  <c r="H143" i="3"/>
  <c r="H141" i="3" s="1"/>
  <c r="H109" i="3" s="1"/>
  <c r="N134" i="3"/>
  <c r="N126" i="3" s="1"/>
  <c r="M123" i="3"/>
  <c r="L123" i="3"/>
  <c r="K123" i="3"/>
  <c r="M121" i="3"/>
  <c r="K121" i="3"/>
  <c r="K109" i="3" s="1"/>
  <c r="G121" i="3"/>
  <c r="G118" i="3"/>
  <c r="G115" i="3"/>
  <c r="K96" i="3"/>
  <c r="K94" i="3" s="1"/>
  <c r="J95" i="3"/>
  <c r="M94" i="3"/>
  <c r="M106" i="3" s="1"/>
  <c r="L94" i="3"/>
  <c r="L106" i="3" s="1"/>
  <c r="K90" i="3"/>
  <c r="K89" i="3"/>
  <c r="I86" i="3"/>
  <c r="K84" i="3"/>
  <c r="K86" i="3" s="1"/>
  <c r="G86" i="3"/>
  <c r="K77" i="3"/>
  <c r="I77" i="3"/>
  <c r="H77" i="3"/>
  <c r="G77" i="3"/>
  <c r="K74" i="3"/>
  <c r="I74" i="3"/>
  <c r="H74" i="3"/>
  <c r="H64" i="3" s="1"/>
  <c r="K71" i="3"/>
  <c r="I65" i="3"/>
  <c r="G65" i="3"/>
  <c r="G64" i="3" s="1"/>
  <c r="K60" i="3"/>
  <c r="K58" i="3" s="1"/>
  <c r="I60" i="3"/>
  <c r="I58" i="3" s="1"/>
  <c r="H60" i="3"/>
  <c r="H58" i="3" s="1"/>
  <c r="H81" i="3" s="1"/>
  <c r="N58" i="3"/>
  <c r="M58" i="3"/>
  <c r="M81" i="3" s="1"/>
  <c r="L58" i="3"/>
  <c r="L81" i="3" s="1"/>
  <c r="J58" i="3"/>
  <c r="G57" i="3"/>
  <c r="J56" i="3"/>
  <c r="J55" i="3"/>
  <c r="J54" i="3"/>
  <c r="J53" i="3"/>
  <c r="J50" i="3"/>
  <c r="J49" i="3"/>
  <c r="J48" i="3"/>
  <c r="K44" i="3"/>
  <c r="K42" i="3" s="1"/>
  <c r="J44" i="3"/>
  <c r="K37" i="3"/>
  <c r="K39" i="3" s="1"/>
  <c r="I37" i="3"/>
  <c r="H37" i="3"/>
  <c r="H39" i="3" s="1"/>
  <c r="G37" i="3"/>
  <c r="G39" i="3" s="1"/>
  <c r="K28" i="3"/>
  <c r="G28" i="3"/>
  <c r="J27" i="3"/>
  <c r="N22" i="3"/>
  <c r="L22" i="3"/>
  <c r="G20" i="3"/>
  <c r="G13" i="3" s="1"/>
  <c r="M13" i="3"/>
  <c r="L13" i="3"/>
  <c r="K13" i="3"/>
  <c r="K11" i="3"/>
  <c r="I11" i="3"/>
  <c r="I9" i="3" s="1"/>
  <c r="I23" i="3" s="1"/>
  <c r="H11" i="3"/>
  <c r="H9" i="3" s="1"/>
  <c r="H23" i="3" s="1"/>
  <c r="G11" i="3"/>
  <c r="G9" i="3" s="1"/>
  <c r="M9" i="3"/>
  <c r="L9" i="3"/>
  <c r="K9" i="3"/>
  <c r="K149" i="3" l="1"/>
  <c r="K207" i="3" s="1"/>
  <c r="K81" i="3"/>
  <c r="N42" i="3"/>
  <c r="N81" i="3" s="1"/>
  <c r="J57" i="3"/>
  <c r="G81" i="3"/>
  <c r="G23" i="3"/>
  <c r="J28" i="3"/>
  <c r="G26" i="3"/>
  <c r="K106" i="3"/>
  <c r="G110" i="3"/>
  <c r="G109" i="3" s="1"/>
  <c r="M193" i="3"/>
  <c r="M109" i="3"/>
  <c r="L109" i="3"/>
  <c r="L207" i="3" s="1"/>
  <c r="I64" i="3"/>
  <c r="I81" i="3" s="1"/>
  <c r="J215" i="3"/>
  <c r="J9" i="3"/>
  <c r="J126" i="3"/>
  <c r="J20" i="3"/>
  <c r="N193" i="3"/>
  <c r="L219" i="3"/>
  <c r="N215" i="3"/>
  <c r="N123" i="3"/>
  <c r="N197" i="3"/>
  <c r="J193" i="3"/>
  <c r="L229" i="3"/>
  <c r="K23" i="3"/>
  <c r="J175" i="3"/>
  <c r="N183" i="3"/>
  <c r="N200" i="3"/>
  <c r="J205" i="3"/>
  <c r="J52" i="3"/>
  <c r="N175" i="3"/>
  <c r="J180" i="3"/>
  <c r="J183" i="3"/>
  <c r="M23" i="3"/>
  <c r="N94" i="3"/>
  <c r="L23" i="3"/>
  <c r="H210" i="3"/>
  <c r="H219" i="3" s="1"/>
  <c r="J141" i="3"/>
  <c r="J232" i="3"/>
  <c r="J26" i="3"/>
  <c r="I39" i="3"/>
  <c r="J37" i="3"/>
  <c r="J39" i="3" s="1"/>
  <c r="J86" i="3"/>
  <c r="J190" i="3"/>
  <c r="J222" i="3"/>
  <c r="J229" i="3" s="1"/>
  <c r="J90" i="3"/>
  <c r="I89" i="3"/>
  <c r="I106" i="3" s="1"/>
  <c r="I207" i="3"/>
  <c r="H207" i="3"/>
  <c r="N121" i="3"/>
  <c r="N141" i="3"/>
  <c r="N156" i="3"/>
  <c r="J167" i="3"/>
  <c r="N190" i="3"/>
  <c r="N210" i="3"/>
  <c r="J219" i="3"/>
  <c r="M219" i="3"/>
  <c r="N222" i="3"/>
  <c r="N229" i="3" s="1"/>
  <c r="M229" i="3"/>
  <c r="I234" i="3"/>
  <c r="J234" i="3" s="1"/>
  <c r="J189" i="2"/>
  <c r="L235" i="3" l="1"/>
  <c r="K235" i="3"/>
  <c r="M207" i="3"/>
  <c r="M235" i="3" s="1"/>
  <c r="J106" i="3"/>
  <c r="J13" i="3"/>
  <c r="H235" i="3"/>
  <c r="J94" i="3"/>
  <c r="J42" i="3"/>
  <c r="J81" i="3" s="1"/>
  <c r="N219" i="3"/>
  <c r="N23" i="3"/>
  <c r="G207" i="3"/>
  <c r="N109" i="3"/>
  <c r="J89" i="3"/>
  <c r="N207" i="3" l="1"/>
  <c r="J109" i="3"/>
  <c r="G235" i="3"/>
  <c r="J23" i="3"/>
  <c r="J207" i="3"/>
  <c r="I235" i="3"/>
  <c r="N235" i="3" l="1"/>
  <c r="J235" i="3"/>
  <c r="L93" i="2"/>
  <c r="L100" i="2" s="1"/>
  <c r="M93" i="2"/>
  <c r="M100" i="2" s="1"/>
  <c r="H188" i="2" l="1"/>
  <c r="I188" i="2"/>
  <c r="H17" i="2"/>
  <c r="H118" i="2"/>
  <c r="H204" i="2" l="1"/>
  <c r="G204" i="2"/>
  <c r="G62" i="2" l="1"/>
  <c r="G76" i="2"/>
  <c r="G123" i="2" l="1"/>
  <c r="G122" i="2"/>
  <c r="G60" i="2"/>
  <c r="G58" i="2" s="1"/>
  <c r="G213" i="2"/>
  <c r="J214" i="2"/>
  <c r="J206" i="2"/>
  <c r="J205" i="2"/>
  <c r="M204" i="2"/>
  <c r="L204" i="2"/>
  <c r="K204" i="2"/>
  <c r="I204" i="2"/>
  <c r="J204" i="2" s="1"/>
  <c r="N204" i="2" l="1"/>
  <c r="H98" i="2"/>
  <c r="I89" i="2"/>
  <c r="H45" i="2" l="1"/>
  <c r="I156" i="2" l="1"/>
  <c r="I160" i="2"/>
  <c r="H156" i="2"/>
  <c r="H172" i="2"/>
  <c r="H164" i="2"/>
  <c r="H168" i="2"/>
  <c r="I155" i="2" l="1"/>
  <c r="I154" i="2" s="1"/>
  <c r="K147" i="2"/>
  <c r="M142" i="2"/>
  <c r="M215" i="2" l="1"/>
  <c r="L215" i="2"/>
  <c r="K213" i="2"/>
  <c r="K215" i="2" s="1"/>
  <c r="I213" i="2"/>
  <c r="H213" i="2"/>
  <c r="H215" i="2" s="1"/>
  <c r="G215" i="2"/>
  <c r="N207" i="2"/>
  <c r="N210" i="2" s="1"/>
  <c r="M207" i="2"/>
  <c r="M210" i="2" s="1"/>
  <c r="L207" i="2"/>
  <c r="L210" i="2" s="1"/>
  <c r="K207" i="2"/>
  <c r="K210" i="2" s="1"/>
  <c r="J207" i="2"/>
  <c r="J210" i="2" s="1"/>
  <c r="I207" i="2"/>
  <c r="I210" i="2" s="1"/>
  <c r="H207" i="2"/>
  <c r="H210" i="2" s="1"/>
  <c r="G207" i="2"/>
  <c r="G210" i="2" s="1"/>
  <c r="J200" i="2"/>
  <c r="J197" i="2" s="1"/>
  <c r="N199" i="2"/>
  <c r="N198" i="2"/>
  <c r="M197" i="2"/>
  <c r="L197" i="2"/>
  <c r="K197" i="2"/>
  <c r="I197" i="2"/>
  <c r="H197" i="2"/>
  <c r="G197" i="2"/>
  <c r="H194" i="2"/>
  <c r="H193" i="2" s="1"/>
  <c r="H201" i="2" s="1"/>
  <c r="M193" i="2"/>
  <c r="L193" i="2"/>
  <c r="K193" i="2"/>
  <c r="I193" i="2"/>
  <c r="G193" i="2"/>
  <c r="G188" i="2"/>
  <c r="J188" i="2" s="1"/>
  <c r="I186" i="2"/>
  <c r="H186" i="2"/>
  <c r="G186" i="2"/>
  <c r="M183" i="2"/>
  <c r="L183" i="2"/>
  <c r="K183" i="2"/>
  <c r="G183" i="2"/>
  <c r="K181" i="2"/>
  <c r="K180" i="2" s="1"/>
  <c r="M180" i="2"/>
  <c r="L180" i="2"/>
  <c r="G180" i="2"/>
  <c r="G178" i="2" s="1"/>
  <c r="I178" i="2"/>
  <c r="H178" i="2"/>
  <c r="M175" i="2"/>
  <c r="L175" i="2"/>
  <c r="K175" i="2"/>
  <c r="I175" i="2"/>
  <c r="H175" i="2"/>
  <c r="G175" i="2"/>
  <c r="H170" i="2"/>
  <c r="M170" i="2"/>
  <c r="L170" i="2"/>
  <c r="K170" i="2"/>
  <c r="I170" i="2"/>
  <c r="G170" i="2"/>
  <c r="L167" i="2"/>
  <c r="K167" i="2"/>
  <c r="N167" i="2" s="1"/>
  <c r="I167" i="2"/>
  <c r="H167" i="2"/>
  <c r="G167" i="2"/>
  <c r="I165" i="2"/>
  <c r="H165" i="2"/>
  <c r="G165" i="2"/>
  <c r="M162" i="2"/>
  <c r="L162" i="2"/>
  <c r="K162" i="2"/>
  <c r="I162" i="2"/>
  <c r="H162" i="2"/>
  <c r="G162" i="2"/>
  <c r="K155" i="2"/>
  <c r="H155" i="2"/>
  <c r="G155" i="2"/>
  <c r="G154" i="2" s="1"/>
  <c r="H154" i="2"/>
  <c r="M150" i="2"/>
  <c r="L150" i="2"/>
  <c r="K150" i="2"/>
  <c r="G150" i="2"/>
  <c r="M147" i="2"/>
  <c r="L147" i="2"/>
  <c r="G147" i="2"/>
  <c r="M144" i="2"/>
  <c r="L144" i="2"/>
  <c r="K144" i="2"/>
  <c r="L142" i="2"/>
  <c r="K142" i="2"/>
  <c r="G142" i="2"/>
  <c r="N137" i="2"/>
  <c r="G137" i="2"/>
  <c r="H132" i="2"/>
  <c r="H130" i="2" s="1"/>
  <c r="M130" i="2"/>
  <c r="L130" i="2"/>
  <c r="K130" i="2"/>
  <c r="I130" i="2"/>
  <c r="G130" i="2"/>
  <c r="N126" i="2"/>
  <c r="N125" i="2"/>
  <c r="M117" i="2"/>
  <c r="L117" i="2"/>
  <c r="K117" i="2"/>
  <c r="I117" i="2"/>
  <c r="H117" i="2"/>
  <c r="G117" i="2"/>
  <c r="M115" i="2"/>
  <c r="L115" i="2"/>
  <c r="K115" i="2"/>
  <c r="G115" i="2"/>
  <c r="M113" i="2"/>
  <c r="L113" i="2"/>
  <c r="K113" i="2"/>
  <c r="G113" i="2"/>
  <c r="G110" i="2"/>
  <c r="G107" i="2"/>
  <c r="I104" i="2"/>
  <c r="H104" i="2"/>
  <c r="P103" i="2"/>
  <c r="I98" i="2"/>
  <c r="G98" i="2"/>
  <c r="K95" i="2"/>
  <c r="I95" i="2"/>
  <c r="H95" i="2"/>
  <c r="H93" i="2" s="1"/>
  <c r="G95" i="2"/>
  <c r="J94" i="2"/>
  <c r="G93" i="2"/>
  <c r="K89" i="2"/>
  <c r="H89" i="2"/>
  <c r="H88" i="2" s="1"/>
  <c r="G89" i="2"/>
  <c r="J89" i="2" s="1"/>
  <c r="K88" i="2"/>
  <c r="I88" i="2"/>
  <c r="I85" i="2"/>
  <c r="H85" i="2"/>
  <c r="K83" i="2"/>
  <c r="K85" i="2" s="1"/>
  <c r="G83" i="2"/>
  <c r="G85" i="2" s="1"/>
  <c r="K77" i="2"/>
  <c r="I77" i="2"/>
  <c r="H77" i="2"/>
  <c r="G77" i="2"/>
  <c r="K74" i="2"/>
  <c r="I74" i="2"/>
  <c r="H74" i="2"/>
  <c r="G74" i="2"/>
  <c r="K71" i="2"/>
  <c r="I71" i="2"/>
  <c r="H71" i="2"/>
  <c r="G71" i="2"/>
  <c r="I65" i="2"/>
  <c r="H65" i="2"/>
  <c r="G65" i="2"/>
  <c r="K60" i="2"/>
  <c r="K58" i="2" s="1"/>
  <c r="I60" i="2"/>
  <c r="I58" i="2" s="1"/>
  <c r="H60" i="2"/>
  <c r="H58" i="2" s="1"/>
  <c r="N58" i="2"/>
  <c r="N80" i="2" s="1"/>
  <c r="M58" i="2"/>
  <c r="M80" i="2" s="1"/>
  <c r="L58" i="2"/>
  <c r="L80" i="2" s="1"/>
  <c r="J58" i="2"/>
  <c r="G57" i="2"/>
  <c r="J57" i="2" s="1"/>
  <c r="J56" i="2"/>
  <c r="J55" i="2"/>
  <c r="J54" i="2"/>
  <c r="J53" i="2"/>
  <c r="K52" i="2"/>
  <c r="I52" i="2"/>
  <c r="H52" i="2"/>
  <c r="G52" i="2"/>
  <c r="J51" i="2"/>
  <c r="J50" i="2"/>
  <c r="J49" i="2"/>
  <c r="K45" i="2"/>
  <c r="K43" i="2" s="1"/>
  <c r="G45" i="2"/>
  <c r="O44" i="2"/>
  <c r="I43" i="2"/>
  <c r="H43" i="2"/>
  <c r="G43" i="2"/>
  <c r="K38" i="2"/>
  <c r="K40" i="2" s="1"/>
  <c r="I38" i="2"/>
  <c r="H38" i="2"/>
  <c r="H40" i="2" s="1"/>
  <c r="G38" i="2"/>
  <c r="G40" i="2" s="1"/>
  <c r="K30" i="2"/>
  <c r="K28" i="2" s="1"/>
  <c r="G30" i="2"/>
  <c r="G28" i="2" s="1"/>
  <c r="J29" i="2"/>
  <c r="H28" i="2"/>
  <c r="V26" i="2"/>
  <c r="N24" i="2"/>
  <c r="L24" i="2"/>
  <c r="G22" i="2"/>
  <c r="J22" i="2" s="1"/>
  <c r="I17" i="2"/>
  <c r="I16" i="2" s="1"/>
  <c r="H16" i="2"/>
  <c r="G17" i="2"/>
  <c r="M16" i="2"/>
  <c r="L16" i="2"/>
  <c r="K16" i="2"/>
  <c r="I14" i="2"/>
  <c r="K14" i="2"/>
  <c r="K12" i="2" s="1"/>
  <c r="H14" i="2"/>
  <c r="H12" i="2" s="1"/>
  <c r="G14" i="2"/>
  <c r="M12" i="2"/>
  <c r="L12" i="2"/>
  <c r="I12" i="2"/>
  <c r="G12" i="2"/>
  <c r="J167" i="2" l="1"/>
  <c r="N175" i="2"/>
  <c r="J175" i="2"/>
  <c r="J85" i="2"/>
  <c r="G88" i="2"/>
  <c r="G100" i="2" s="1"/>
  <c r="I93" i="2"/>
  <c r="J170" i="2"/>
  <c r="K93" i="2"/>
  <c r="N93" i="2" s="1"/>
  <c r="K25" i="2"/>
  <c r="I215" i="2"/>
  <c r="J215" i="2" s="1"/>
  <c r="J213" i="2"/>
  <c r="K178" i="2"/>
  <c r="L201" i="2"/>
  <c r="N170" i="2"/>
  <c r="G201" i="2"/>
  <c r="N117" i="2"/>
  <c r="J30" i="2"/>
  <c r="J93" i="2"/>
  <c r="J117" i="2"/>
  <c r="N130" i="2"/>
  <c r="I28" i="2"/>
  <c r="J28" i="2" s="1"/>
  <c r="K103" i="2"/>
  <c r="M103" i="2"/>
  <c r="N115" i="2"/>
  <c r="J130" i="2"/>
  <c r="K137" i="2"/>
  <c r="J178" i="2"/>
  <c r="K201" i="2"/>
  <c r="N197" i="2"/>
  <c r="L178" i="2"/>
  <c r="M137" i="2"/>
  <c r="J12" i="2"/>
  <c r="M25" i="2"/>
  <c r="L25" i="2"/>
  <c r="G16" i="2"/>
  <c r="K80" i="2"/>
  <c r="G64" i="2"/>
  <c r="G80" i="2" s="1"/>
  <c r="I64" i="2"/>
  <c r="I80" i="2" s="1"/>
  <c r="H64" i="2"/>
  <c r="H80" i="2" s="1"/>
  <c r="G104" i="2"/>
  <c r="G103" i="2" s="1"/>
  <c r="G190" i="2" s="1"/>
  <c r="L103" i="2"/>
  <c r="H103" i="2"/>
  <c r="H190" i="2" s="1"/>
  <c r="I25" i="2"/>
  <c r="I40" i="2"/>
  <c r="J38" i="2"/>
  <c r="J40" i="2" s="1"/>
  <c r="J43" i="2"/>
  <c r="J52" i="2"/>
  <c r="H100" i="2"/>
  <c r="I103" i="2"/>
  <c r="J154" i="2"/>
  <c r="N162" i="2"/>
  <c r="N183" i="2"/>
  <c r="J193" i="2"/>
  <c r="J201" i="2" s="1"/>
  <c r="I201" i="2"/>
  <c r="H25" i="2"/>
  <c r="J45" i="2"/>
  <c r="I100" i="2"/>
  <c r="N113" i="2"/>
  <c r="L137" i="2"/>
  <c r="N144" i="2"/>
  <c r="J162" i="2"/>
  <c r="N180" i="2"/>
  <c r="M178" i="2"/>
  <c r="N178" i="2" s="1"/>
  <c r="J186" i="2"/>
  <c r="N193" i="2"/>
  <c r="M201" i="2"/>
  <c r="I30" i="1"/>
  <c r="H30" i="1"/>
  <c r="G30" i="1"/>
  <c r="J29" i="1"/>
  <c r="J88" i="2" l="1"/>
  <c r="N25" i="2"/>
  <c r="K100" i="2"/>
  <c r="K190" i="2"/>
  <c r="N201" i="2"/>
  <c r="J100" i="2"/>
  <c r="L190" i="2"/>
  <c r="L216" i="2" s="1"/>
  <c r="J104" i="2"/>
  <c r="G25" i="2"/>
  <c r="G216" i="2" s="1"/>
  <c r="J16" i="2"/>
  <c r="H216" i="2"/>
  <c r="M190" i="2"/>
  <c r="M216" i="2" s="1"/>
  <c r="N103" i="2"/>
  <c r="I190" i="2"/>
  <c r="J190" i="2" s="1"/>
  <c r="J103" i="2"/>
  <c r="J80" i="2"/>
  <c r="H168" i="1"/>
  <c r="I168" i="1"/>
  <c r="K216" i="2" l="1"/>
  <c r="N216" i="2" s="1"/>
  <c r="J25" i="2"/>
  <c r="N190" i="2"/>
  <c r="I216" i="2"/>
  <c r="J216" i="2" s="1"/>
  <c r="H28" i="1"/>
  <c r="I28" i="1"/>
  <c r="G28" i="1" l="1"/>
  <c r="J30" i="1"/>
  <c r="H132" i="1"/>
  <c r="I95" i="1" l="1"/>
  <c r="I17" i="1"/>
  <c r="H17" i="1"/>
  <c r="H16" i="1" l="1"/>
  <c r="I16" i="1"/>
  <c r="G17" i="1"/>
  <c r="M176" i="1" l="1"/>
  <c r="L176" i="1"/>
  <c r="K176" i="1"/>
  <c r="H176" i="1"/>
  <c r="G176" i="1"/>
  <c r="I171" i="1"/>
  <c r="G171" i="1"/>
  <c r="M171" i="1"/>
  <c r="L171" i="1"/>
  <c r="K171" i="1"/>
  <c r="M163" i="1"/>
  <c r="L163" i="1"/>
  <c r="K163" i="1"/>
  <c r="I156" i="1"/>
  <c r="H156" i="1"/>
  <c r="G156" i="1"/>
  <c r="M142" i="1"/>
  <c r="L142" i="1"/>
  <c r="M130" i="1"/>
  <c r="L130" i="1"/>
  <c r="K130" i="1"/>
  <c r="G130" i="1"/>
  <c r="K117" i="1"/>
  <c r="G117" i="1"/>
  <c r="N176" i="1" l="1"/>
  <c r="N163" i="1"/>
  <c r="J58" i="1"/>
  <c r="L58" i="1"/>
  <c r="L80" i="1" s="1"/>
  <c r="M58" i="1"/>
  <c r="M80" i="1" s="1"/>
  <c r="N58" i="1"/>
  <c r="N80" i="1" s="1"/>
  <c r="G57" i="1"/>
  <c r="G22" i="1"/>
  <c r="G205" i="1"/>
  <c r="H206" i="1"/>
  <c r="H209" i="1" s="1"/>
  <c r="I206" i="1"/>
  <c r="I209" i="1" s="1"/>
  <c r="J206" i="1"/>
  <c r="J209" i="1" s="1"/>
  <c r="K206" i="1"/>
  <c r="K209" i="1" s="1"/>
  <c r="L206" i="1"/>
  <c r="L209" i="1" s="1"/>
  <c r="M206" i="1"/>
  <c r="M209" i="1" s="1"/>
  <c r="N206" i="1"/>
  <c r="N209" i="1" s="1"/>
  <c r="G206" i="1"/>
  <c r="G209" i="1" l="1"/>
  <c r="M144" i="1"/>
  <c r="L144" i="1"/>
  <c r="K144" i="1"/>
  <c r="K142" i="1"/>
  <c r="N144" i="1" l="1"/>
  <c r="I176" i="1"/>
  <c r="J176" i="1" s="1"/>
  <c r="H172" i="1"/>
  <c r="H171" i="1" s="1"/>
  <c r="G155" i="1"/>
  <c r="L117" i="1"/>
  <c r="M117" i="1"/>
  <c r="N137" i="1"/>
  <c r="H71" i="1" l="1"/>
  <c r="I71" i="1"/>
  <c r="I65" i="1"/>
  <c r="H65" i="1"/>
  <c r="G65" i="1"/>
  <c r="G189" i="1" l="1"/>
  <c r="J189" i="1" s="1"/>
  <c r="H187" i="1" l="1"/>
  <c r="I187" i="1"/>
  <c r="G187" i="1"/>
  <c r="H163" i="1"/>
  <c r="I163" i="1"/>
  <c r="G163" i="1"/>
  <c r="M136" i="1"/>
  <c r="G110" i="1"/>
  <c r="H107" i="1"/>
  <c r="G107" i="1"/>
  <c r="G104" i="1" l="1"/>
  <c r="J187" i="1"/>
  <c r="J163" i="1"/>
  <c r="G198" i="1"/>
  <c r="H198" i="1"/>
  <c r="I198" i="1"/>
  <c r="K198" i="1"/>
  <c r="L198" i="1"/>
  <c r="M198" i="1"/>
  <c r="I194" i="1"/>
  <c r="K194" i="1"/>
  <c r="L194" i="1"/>
  <c r="L202" i="1" s="1"/>
  <c r="M194" i="1"/>
  <c r="G194" i="1"/>
  <c r="J201" i="1"/>
  <c r="J198" i="1" s="1"/>
  <c r="N200" i="1"/>
  <c r="G202" i="1" l="1"/>
  <c r="N194" i="1"/>
  <c r="I202" i="1"/>
  <c r="J194" i="1"/>
  <c r="J202" i="1" s="1"/>
  <c r="M202" i="1"/>
  <c r="K202" i="1"/>
  <c r="H195" i="1"/>
  <c r="H194" i="1" s="1"/>
  <c r="H202" i="1" s="1"/>
  <c r="L24" i="1"/>
  <c r="H15" i="1"/>
  <c r="I15" i="1"/>
  <c r="H52" i="1" l="1"/>
  <c r="H85" i="1"/>
  <c r="H179" i="1"/>
  <c r="L168" i="1" l="1"/>
  <c r="K168" i="1"/>
  <c r="I38" i="1" l="1"/>
  <c r="H38" i="1"/>
  <c r="H40" i="1" s="1"/>
  <c r="H104" i="1" l="1"/>
  <c r="I104" i="1"/>
  <c r="H14" i="1" l="1"/>
  <c r="H12" i="1" l="1"/>
  <c r="H25" i="1" l="1"/>
  <c r="I40" i="1"/>
  <c r="J57" i="1" l="1"/>
  <c r="N199" i="1" l="1"/>
  <c r="N198" i="1" s="1"/>
  <c r="N202" i="1" s="1"/>
  <c r="I74" i="1" l="1"/>
  <c r="H74" i="1"/>
  <c r="G74" i="1"/>
  <c r="I77" i="1"/>
  <c r="H77" i="1"/>
  <c r="I60" i="1"/>
  <c r="I58" i="1" s="1"/>
  <c r="H60" i="1"/>
  <c r="H58" i="1" s="1"/>
  <c r="G60" i="1"/>
  <c r="G58" i="1" s="1"/>
  <c r="I64" i="1" l="1"/>
  <c r="H64" i="1"/>
  <c r="K147" i="1"/>
  <c r="K151" i="1"/>
  <c r="M214" i="1"/>
  <c r="L214" i="1"/>
  <c r="I212" i="1"/>
  <c r="I214" i="1" s="1"/>
  <c r="H212" i="1"/>
  <c r="H214" i="1" s="1"/>
  <c r="G212" i="1"/>
  <c r="M184" i="1"/>
  <c r="L184" i="1"/>
  <c r="K184" i="1"/>
  <c r="K182" i="1"/>
  <c r="K181" i="1" s="1"/>
  <c r="M181" i="1"/>
  <c r="L181" i="1"/>
  <c r="G184" i="1"/>
  <c r="G181" i="1"/>
  <c r="I179" i="1"/>
  <c r="N168" i="1"/>
  <c r="M151" i="1"/>
  <c r="L151" i="1"/>
  <c r="M147" i="1"/>
  <c r="L147" i="1"/>
  <c r="L137" i="1" s="1"/>
  <c r="N126" i="1"/>
  <c r="N125" i="1"/>
  <c r="M115" i="1"/>
  <c r="L115" i="1"/>
  <c r="K115" i="1"/>
  <c r="M113" i="1"/>
  <c r="L113" i="1"/>
  <c r="K113" i="1"/>
  <c r="G113" i="1"/>
  <c r="G95" i="1"/>
  <c r="I98" i="1"/>
  <c r="H98" i="1"/>
  <c r="G98" i="1"/>
  <c r="H95" i="1"/>
  <c r="J94" i="1"/>
  <c r="I88" i="1"/>
  <c r="H89" i="1"/>
  <c r="H88" i="1" s="1"/>
  <c r="G89" i="1"/>
  <c r="G88" i="1" s="1"/>
  <c r="I85" i="1"/>
  <c r="I52" i="1"/>
  <c r="G52" i="1"/>
  <c r="J56" i="1"/>
  <c r="J55" i="1"/>
  <c r="J54" i="1"/>
  <c r="J53" i="1"/>
  <c r="J51" i="1"/>
  <c r="J50" i="1"/>
  <c r="J49" i="1"/>
  <c r="I45" i="1"/>
  <c r="I43" i="1" s="1"/>
  <c r="H45" i="1"/>
  <c r="H43" i="1" s="1"/>
  <c r="G45" i="1"/>
  <c r="G43" i="1" s="1"/>
  <c r="M12" i="1"/>
  <c r="L12" i="1"/>
  <c r="M16" i="1"/>
  <c r="L16" i="1"/>
  <c r="K16" i="1"/>
  <c r="L25" i="1"/>
  <c r="N24" i="1"/>
  <c r="M137" i="1" l="1"/>
  <c r="M25" i="1"/>
  <c r="I80" i="1"/>
  <c r="L103" i="1"/>
  <c r="H80" i="1"/>
  <c r="K103" i="1"/>
  <c r="M103" i="1"/>
  <c r="N117" i="1"/>
  <c r="K179" i="1"/>
  <c r="K137" i="1"/>
  <c r="H93" i="1"/>
  <c r="H100" i="1" s="1"/>
  <c r="J52" i="1"/>
  <c r="N181" i="1"/>
  <c r="G179" i="1"/>
  <c r="J179" i="1" s="1"/>
  <c r="J89" i="1"/>
  <c r="G93" i="1"/>
  <c r="G100" i="1" s="1"/>
  <c r="N184" i="1"/>
  <c r="N115" i="1"/>
  <c r="J88" i="1"/>
  <c r="J43" i="1"/>
  <c r="J45" i="1"/>
  <c r="I93" i="1"/>
  <c r="I100" i="1" s="1"/>
  <c r="N113" i="1"/>
  <c r="M179" i="1"/>
  <c r="L179" i="1"/>
  <c r="J28" i="1"/>
  <c r="I14" i="1"/>
  <c r="I12" i="1" s="1"/>
  <c r="L191" i="1" l="1"/>
  <c r="M191" i="1"/>
  <c r="J80" i="1"/>
  <c r="K191" i="1"/>
  <c r="N179" i="1"/>
  <c r="J100" i="1"/>
  <c r="J93" i="1"/>
  <c r="I25" i="1"/>
  <c r="H166" i="1"/>
  <c r="I166" i="1"/>
  <c r="N130" i="1"/>
  <c r="H130" i="1"/>
  <c r="I130" i="1"/>
  <c r="H117" i="1"/>
  <c r="I117" i="1"/>
  <c r="H103" i="1" l="1"/>
  <c r="J130" i="1"/>
  <c r="I103" i="1"/>
  <c r="L215" i="1"/>
  <c r="I155" i="1"/>
  <c r="H155" i="1"/>
  <c r="J104" i="1"/>
  <c r="H191" i="1" l="1"/>
  <c r="H215" i="1" s="1"/>
  <c r="I191" i="1"/>
  <c r="I215" i="1" s="1"/>
  <c r="M215" i="1"/>
  <c r="J155" i="1"/>
  <c r="K89" i="1"/>
  <c r="K212" i="1" l="1"/>
  <c r="K214" i="1" s="1"/>
  <c r="G214" i="1"/>
  <c r="J214" i="1" s="1"/>
  <c r="G168" i="1"/>
  <c r="J168" i="1" s="1"/>
  <c r="G166" i="1"/>
  <c r="K156" i="1"/>
  <c r="G151" i="1"/>
  <c r="G147" i="1"/>
  <c r="G142" i="1"/>
  <c r="G137" i="1"/>
  <c r="G115" i="1"/>
  <c r="G103" i="1" s="1"/>
  <c r="K95" i="1"/>
  <c r="K93" i="1" s="1"/>
  <c r="K88" i="1"/>
  <c r="K83" i="1"/>
  <c r="K85" i="1" s="1"/>
  <c r="G83" i="1"/>
  <c r="G85" i="1" s="1"/>
  <c r="J85" i="1" s="1"/>
  <c r="K77" i="1"/>
  <c r="G77" i="1"/>
  <c r="K74" i="1"/>
  <c r="K71" i="1"/>
  <c r="G71" i="1"/>
  <c r="K60" i="1"/>
  <c r="K58" i="1" s="1"/>
  <c r="K52" i="1"/>
  <c r="K45" i="1"/>
  <c r="K43" i="1" s="1"/>
  <c r="K38" i="1"/>
  <c r="K40" i="1" s="1"/>
  <c r="G38" i="1"/>
  <c r="K30" i="1"/>
  <c r="K28" i="1" s="1"/>
  <c r="V26" i="1"/>
  <c r="G16" i="1"/>
  <c r="K14" i="1"/>
  <c r="K12" i="1" s="1"/>
  <c r="K25" i="1" s="1"/>
  <c r="G14" i="1"/>
  <c r="G12" i="1" s="1"/>
  <c r="J12" i="1" s="1"/>
  <c r="G191" i="1" l="1"/>
  <c r="K80" i="1"/>
  <c r="G64" i="1"/>
  <c r="G80" i="1" s="1"/>
  <c r="G40" i="1"/>
  <c r="J38" i="1"/>
  <c r="J40" i="1" s="1"/>
  <c r="N25" i="1"/>
  <c r="N103" i="1"/>
  <c r="G25" i="1"/>
  <c r="J16" i="1"/>
  <c r="O44" i="1"/>
  <c r="K100" i="1"/>
  <c r="J117" i="1"/>
  <c r="J25" i="1" l="1"/>
  <c r="P103" i="1"/>
  <c r="N191" i="1" l="1"/>
  <c r="K215" i="1"/>
  <c r="N215" i="1" s="1"/>
  <c r="G215" i="1"/>
  <c r="J103" i="1"/>
  <c r="J191" i="1" l="1"/>
  <c r="J215" i="1"/>
</calcChain>
</file>

<file path=xl/sharedStrings.xml><?xml version="1.0" encoding="utf-8"?>
<sst xmlns="http://schemas.openxmlformats.org/spreadsheetml/2006/main" count="3878" uniqueCount="542">
  <si>
    <t>(тис.грн.)</t>
  </si>
  <si>
    <t>Код програмної класифіка-ції видатків та кредитува-ння місцевих бюджетів</t>
  </si>
  <si>
    <t>Код ТПКВКМБ /
ТКВКБМС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</si>
  <si>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</si>
  <si>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</si>
  <si>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Загальний фонд</t>
  </si>
  <si>
    <t>Спеціальний фонд</t>
  </si>
  <si>
    <t xml:space="preserve">           Міські програми:</t>
  </si>
  <si>
    <t>0300000</t>
  </si>
  <si>
    <t>Виконавчий комітет Южноукраїнської міської ради</t>
  </si>
  <si>
    <t>0310000</t>
  </si>
  <si>
    <t xml:space="preserve">Міська програма інформаційної підтримки розвитку міста та діяльності органів місцевого самоврядування на 2017-2018 роки, всього в тому числі за напрямами: </t>
  </si>
  <si>
    <t>0310180</t>
  </si>
  <si>
    <t>0180</t>
  </si>
  <si>
    <t>0111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</si>
  <si>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</si>
  <si>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- висвітлення діяльності  міської ради через засоби масової інформації</t>
  </si>
  <si>
    <t>0317210</t>
  </si>
  <si>
    <t>7210</t>
  </si>
  <si>
    <t>0830</t>
  </si>
  <si>
    <t xml:space="preserve">Підтримка засобів масової інформації </t>
  </si>
  <si>
    <t>0317214</t>
  </si>
  <si>
    <t>7214</t>
  </si>
  <si>
    <t>Підтримка електронних та інших засобів масової інформації, реалізація заходів у галузі «Засоби масової інформації» та моніторинг інформаційного середовища</t>
  </si>
  <si>
    <t>підтримка  комунальної установи "Інформаційне агенство "Контакт" (одержувач бюджетних коштів -  комунальна установа "Інформаційне агентство "Контакт" )</t>
  </si>
  <si>
    <t>0318600</t>
  </si>
  <si>
    <t>8600</t>
  </si>
  <si>
    <t>Інші видатки</t>
  </si>
  <si>
    <t>0318601</t>
  </si>
  <si>
    <t>8601</t>
  </si>
  <si>
    <t>0133</t>
  </si>
  <si>
    <r>
      <t xml:space="preserve">Програма "Наше місто" на 2015-2019 роки </t>
    </r>
    <r>
      <rPr>
        <sz val="12"/>
        <rFont val="Times New Roman"/>
        <family val="1"/>
        <charset val="204"/>
      </rPr>
      <t>в частині сплати членських внесків до Асоціації міст України  та  Асоціації  енергоефективних міст України, придбання грамот, листівок, подарунків, квітів, пільг Почесним громадянам міста</t>
    </r>
  </si>
  <si>
    <t>0318602</t>
  </si>
  <si>
    <t>8602</t>
  </si>
  <si>
    <r>
      <rPr>
        <b/>
        <sz val="12"/>
        <rFont val="Times New Roman"/>
        <family val="1"/>
        <charset val="204"/>
      </rPr>
      <t>Міська Програма щодо організації мобілізаційної роботи в місті Южноукраїнську на 2014-2017 роки</t>
    </r>
    <r>
      <rPr>
        <sz val="12"/>
        <rFont val="Times New Roman"/>
        <family val="1"/>
        <charset val="204"/>
      </rPr>
      <t> в частині видатків на придбання ПММ для забезпечення проведення мобілізаційної підготовки проходження медоглядів, навчальних зборів</t>
    </r>
  </si>
  <si>
    <t>0316310</t>
  </si>
  <si>
    <t>6310</t>
  </si>
  <si>
    <t>0490</t>
  </si>
  <si>
    <r>
      <t xml:space="preserve">Програма Капітального будівництва об"єктів житлово-комунального господарства  і соціальної інфраструктури м.Южноукраїнську на 2016-2020 роки </t>
    </r>
    <r>
      <rPr>
        <sz val="12"/>
        <rFont val="Times New Roman"/>
        <family val="1"/>
        <charset val="204"/>
      </rPr>
      <t xml:space="preserve">в частині коригування  містобудівної документації - генерального плану міста Южноукраїнська </t>
    </r>
  </si>
  <si>
    <t>Разом:</t>
  </si>
  <si>
    <t>1000000</t>
  </si>
  <si>
    <t>Управління освіти Южноукраїнської міської ради</t>
  </si>
  <si>
    <t>1100000</t>
  </si>
  <si>
    <t>1011220</t>
  </si>
  <si>
    <t>1220</t>
  </si>
  <si>
    <t>0990</t>
  </si>
  <si>
    <t>Інші освітні програми</t>
  </si>
  <si>
    <t>1221</t>
  </si>
  <si>
    <t>Програма розвитку освіти в м.Южноукраїнську  на 2016-2020 роки, всього в тому числі в розрізі напрямів:</t>
  </si>
  <si>
    <t>Виявлення та підтримка обдарованих дітей (стипендія міського голови), стимулювання дітей за результатами конкурсів, стималювання обдарованих дітей (за результатами року)</t>
  </si>
  <si>
    <t>Разом</t>
  </si>
  <si>
    <t>Южноукраїнський міський Центр соціальних служб для сім*ї, дітей та молоді</t>
  </si>
  <si>
    <t>3132</t>
  </si>
  <si>
    <t>1040</t>
  </si>
  <si>
    <t>Програми і заходи центрів соціальних служб для сім'ї, дітей та молоді</t>
  </si>
  <si>
    <t>Комплексна програма  "Молоде покоління  м.Южноукраїнська" на 2016-2020 роки, разом в тому числі в розрізі напрямів:</t>
  </si>
  <si>
    <t>проведення загальноміських заходів (День сім*ї, День матері, День захисту дітей, хіп - хоп фестиваль та ін.)</t>
  </si>
  <si>
    <t>1500000</t>
  </si>
  <si>
    <t>Управління соціального захисту населення, охорони здоров*я та праці Южноукраїнської міської ради</t>
  </si>
  <si>
    <t>1510000</t>
  </si>
  <si>
    <t>1512210</t>
  </si>
  <si>
    <t>2210</t>
  </si>
  <si>
    <t>Програми і централізовані заходи у галузі охорони здоров'я</t>
  </si>
  <si>
    <t>1512211</t>
  </si>
  <si>
    <t>2211</t>
  </si>
  <si>
    <t>0740</t>
  </si>
  <si>
    <t>Програма і централізовані заходи з імунопрофілактики</t>
  </si>
  <si>
    <r>
      <rPr>
        <b/>
        <sz val="12"/>
        <rFont val="Times New Roman"/>
        <family val="1"/>
        <charset val="204"/>
      </rPr>
      <t>Міська програма імунопрофілактики та захисту населення від інфікційних  хвороб на 2016-2022 роки</t>
    </r>
    <r>
      <rPr>
        <sz val="12"/>
        <rFont val="Times New Roman"/>
        <family val="1"/>
        <charset val="204"/>
      </rPr>
      <t xml:space="preserve">  в частині забезпечення лікарськими засобами та медпрепаратами для захисту населення від інфекційних хвороб</t>
    </r>
  </si>
  <si>
    <t>1512212</t>
  </si>
  <si>
    <t>2212</t>
  </si>
  <si>
    <t>0763</t>
  </si>
  <si>
    <t>Програма і централізовані заходи боротьби з туберкульозом</t>
  </si>
  <si>
    <r>
      <rPr>
        <b/>
        <sz val="12"/>
        <rFont val="Times New Roman"/>
        <family val="1"/>
        <charset val="204"/>
      </rPr>
      <t>Соціальна програма протидії  захворюванню на туберкульоз на 2014 - 2017 роки</t>
    </r>
    <r>
      <rPr>
        <sz val="12"/>
        <rFont val="Times New Roman"/>
        <family val="1"/>
        <charset val="204"/>
      </rPr>
      <t xml:space="preserve"> всього, в т.ч. </t>
    </r>
  </si>
  <si>
    <t xml:space="preserve">матеріальний супровід хворих до місця лікування та в зворотньому шляху; </t>
  </si>
  <si>
    <t>придбання лікарських засобів для проведення хіміопрофілактики туберкульору у контактних, ВІЛ-інфікованих та тубінфікованих дітей та препаратів для профілактики побічної дії протитуберкульозних і хіміотерапевтичних засобів</t>
  </si>
  <si>
    <t>придбання харчових пайків для хворих, які не переривають лікуванн</t>
  </si>
  <si>
    <t>1512213</t>
  </si>
  <si>
    <t>2213</t>
  </si>
  <si>
    <t>Програма і централізовані заходи профілактики ВІЛ-інфекції/СНІДу</t>
  </si>
  <si>
    <r>
      <rPr>
        <b/>
        <sz val="12"/>
        <rFont val="Times New Roman"/>
        <family val="1"/>
        <charset val="204"/>
      </rPr>
      <t>Соціальна програма  протидії ВІЛ- інфекції / СНІДу  на 2014-2019 р.р</t>
    </r>
    <r>
      <rPr>
        <sz val="12"/>
        <rFont val="Times New Roman"/>
        <family val="1"/>
        <charset val="204"/>
      </rPr>
      <t>. 'в частині соціального  супроводу  дітей -сиріт та дітей позбавлених батьківського піклування, хворих на ВІЛ-інфекцію / СНІД (харчування дітей віком  до 2-х років)</t>
    </r>
  </si>
  <si>
    <t>1512214</t>
  </si>
  <si>
    <t>2214</t>
  </si>
  <si>
    <t>Забезпечення централізованих заходів з лікування хворих на цукровий та нецукровий діабет</t>
  </si>
  <si>
    <r>
      <rPr>
        <b/>
        <sz val="12"/>
        <rFont val="Times New Roman"/>
        <family val="1"/>
        <charset val="204"/>
      </rPr>
      <t>Міська Цільова програма "Цукровий діабет" на 2017-2020 р.р</t>
    </r>
    <r>
      <rPr>
        <sz val="12"/>
        <rFont val="Times New Roman"/>
        <family val="1"/>
        <charset val="204"/>
      </rPr>
      <t xml:space="preserve">. в частині забезпечення хворих лікарськими засобами та виробами медичного призначення, таблетованими цукрознижуючими засобами </t>
    </r>
  </si>
  <si>
    <t>1512215</t>
  </si>
  <si>
    <t>2215</t>
  </si>
  <si>
    <t>Централізовані заходи з лікування онкологічних хворих</t>
  </si>
  <si>
    <r>
      <t xml:space="preserve">Міська програма боротьби з онкологічними захворюваннями в м.Южноукраїнську на 2017 - 2020 роки </t>
    </r>
    <r>
      <rPr>
        <sz val="12"/>
        <rFont val="Times New Roman"/>
        <family val="1"/>
        <charset val="204"/>
      </rPr>
      <t>в частині надання матеріальної допомоги хворим на лікування</t>
    </r>
  </si>
  <si>
    <t>1512220</t>
  </si>
  <si>
    <t>2220</t>
  </si>
  <si>
    <t>Інші заходи в галузі охорони здоров’я</t>
  </si>
  <si>
    <t>1512221</t>
  </si>
  <si>
    <t>1512222</t>
  </si>
  <si>
    <r>
      <t xml:space="preserve">Програма  запобігання та лікування  серцево-судинних та судинно-мозкових захворювань на 2015-2020 р.р. </t>
    </r>
    <r>
      <rPr>
        <sz val="12"/>
        <rFont val="Times New Roman"/>
        <family val="1"/>
        <charset val="204"/>
      </rPr>
      <t>в частині  безкоштовного  забезпечення лікарськими засобами  хворих, які перенесли гострий інфаркт міокарду (перші шість місяців) та які мають протезування клапанів серця</t>
    </r>
  </si>
  <si>
    <t>1512223</t>
  </si>
  <si>
    <r>
      <rPr>
        <b/>
        <sz val="12"/>
        <rFont val="Times New Roman"/>
        <family val="1"/>
        <charset val="204"/>
      </rPr>
      <t>Репродуктивне здоровя  населення міста Южноукраїнська  на 2016-2020 роки</t>
    </r>
    <r>
      <rPr>
        <sz val="12"/>
        <rFont val="Times New Roman"/>
        <family val="1"/>
        <charset val="204"/>
      </rPr>
      <t xml:space="preserve"> в частині забезпечення продуктами дитячого харчування дітей перших двох років життя з малозабезпечених сімей та дитини, хворої на фенілкетонурію</t>
    </r>
  </si>
  <si>
    <t>2224</t>
  </si>
  <si>
    <r>
      <t xml:space="preserve">Програма реформування медичного обслуговування населення міста Южноукраїнська на 2013-2018 роки </t>
    </r>
    <r>
      <rPr>
        <sz val="12"/>
        <rFont val="Times New Roman"/>
        <family val="1"/>
        <charset val="204"/>
      </rPr>
      <t xml:space="preserve">в частині оплати за навчання випускників закладів освіти міста на лікарів сімейної медицини.          </t>
    </r>
  </si>
  <si>
    <t>3240</t>
  </si>
  <si>
    <t>1050</t>
  </si>
  <si>
    <t>Організація та проведення громадських робіт</t>
  </si>
  <si>
    <r>
      <rPr>
        <b/>
        <sz val="12"/>
        <rFont val="Times New Roman"/>
        <family val="1"/>
        <charset val="204"/>
      </rPr>
      <t>Програма зайнятості  населення міста Южноукраїнська на період  до 2017 року</t>
    </r>
    <r>
      <rPr>
        <sz val="12"/>
        <rFont val="Times New Roman"/>
        <family val="1"/>
        <charset val="204"/>
      </rPr>
      <t xml:space="preserve"> в частині оплачуваних громадських робіт на умовах співфінансування з  Южноукраїнським міським центром зайнятості</t>
    </r>
  </si>
  <si>
    <t>3190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</si>
  <si>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</si>
  <si>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</si>
  <si>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3200</t>
  </si>
  <si>
    <t>Соціальний захист ветеранів війни та праці</t>
  </si>
  <si>
    <t>3201</t>
  </si>
  <si>
    <t>1030</t>
  </si>
  <si>
    <t>Інші видатки на соціальний захист ветеранів війни та праці</t>
  </si>
  <si>
    <t>надання одноразової матеріальної допомоги сім*ям загиблих учасників АТО, відшкодування проїзду до санаторію  в межах області, одноразова допомога учасникам АТО, які отримали поранення та знаходяться на стаціонарному лікуванні, одноразова матеріальна допомога демобілізованим учасникам АТО, одноразова мат. допомога сім*ям загиблих в АТО на санаторно - курортне лікування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</si>
  <si>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</si>
  <si>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фінансова підтримка громадської організації "Воїни та ветерани антитерористичної операції" (одержувач коштів)</t>
  </si>
  <si>
    <r>
      <rPr>
        <b/>
        <sz val="12"/>
        <rFont val="Times New Roman"/>
        <family val="1"/>
        <charset val="204"/>
      </rPr>
      <t>Комплексна  програма "Турбота" на 2013-2017 роки</t>
    </r>
    <r>
      <rPr>
        <sz val="12"/>
        <rFont val="Times New Roman"/>
        <family val="1"/>
        <charset val="204"/>
      </rPr>
      <t>, всього, в тому числі в розрізі напрямів та заходів:</t>
    </r>
  </si>
  <si>
    <t>1513030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</si>
  <si>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</si>
  <si>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</si>
  <si>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3035</t>
  </si>
  <si>
    <t>1070</t>
  </si>
  <si>
    <t>Компенсаційні виплати на пільговий проїзд автомобільним транспортом окремим категоріям громадян</t>
  </si>
  <si>
    <t>компенсація за пільговий проїзд  окремим категоріям громадян на приміських та дачних маршрутах автомобільним транспортом</t>
  </si>
  <si>
    <t>3037</t>
  </si>
  <si>
    <t>Компенсаційні виплати за пільговий проїзд окремих категорій громадян на залізничному транспорті</t>
  </si>
  <si>
    <t>компенсація за пільговий проїзд  окремим категоріям громадян залізничним транспортом</t>
  </si>
  <si>
    <t>3180</t>
  </si>
  <si>
    <t xml:space="preserve">Надання соціальних гарантій інвалідам, фізичним особам, які надають соціальні послуги громадянам похилого віку, інвалідам, дітям –інвалідам, хворим, які не здатні до самообслуговування і потребують сторонньої допомоги 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</si>
  <si>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</si>
  <si>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</si>
  <si>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</si>
  <si>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</si>
  <si>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компенсація фізичним особам, які надають соціальні послуги</t>
  </si>
  <si>
    <t>1513190</t>
  </si>
  <si>
    <t>компенсація вартості ЖКП учасникам бойових дій ВВВ, інвалідам по зору І та ІІ груп</t>
  </si>
  <si>
    <t>1513200</t>
  </si>
  <si>
    <t>1513201</t>
  </si>
  <si>
    <t>придбання санаторно - курортних путівок ветеранам війни, праці, інвалідам та УБД, безкоштовне зубопротезування ветеранів війни тапраці, заходи до свят, щомісячна та одноразова допомога інвалідам війни в Афганістані, членам сімей загиблих УБД в Афганістані, одноразові виплати до річниці визволення України, перемоги у 2-й світовій війні</t>
  </si>
  <si>
    <t>1513202</t>
  </si>
  <si>
    <t>3202</t>
  </si>
  <si>
    <t>одержувачі бюджетних коштів - громадські організації:  "Рада організації ветеранів війни, праці та військової служби";  "Спілка ветеранів Афганістану"; Товариство інвалідів;  Спілка "Союз-Чорнобиль"</t>
  </si>
  <si>
    <t>1513400</t>
  </si>
  <si>
    <t>3400</t>
  </si>
  <si>
    <t>1090</t>
  </si>
  <si>
    <t>Інші видатки на соціальний захист населення</t>
  </si>
  <si>
    <t>1513402</t>
  </si>
  <si>
    <t>3402</t>
  </si>
  <si>
    <t>забезпечення ліками ветеранів ВВВ, дітей - інвалідів, психічно хворих, інших пільговиків, придбання слухових апаратів, засобів реабілітації медичного призначення (памперси), послуги звязку, пільгова передплата газети Контакт, харчування малозабезпечених верств населення, медичний супровід дітей у відділенні соцреабілітації дітей - інвалідів, щомісячна стипендія особам старше 100 років,  соціально - педагогічна послуга "Університет третього віку", одноразова матеріальна допомога до Дня ліквідатора аварії на ЧАЕС, забезпечння інвалідів побутовою технікою</t>
  </si>
  <si>
    <t>Служба у справах дітей Южноукраїнської міської ради</t>
  </si>
  <si>
    <t>2013110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</si>
  <si>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</si>
  <si>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</si>
  <si>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</si>
  <si>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</si>
  <si>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Управління молоді, спорту та культури Южноукраїнської міської ради</t>
  </si>
  <si>
    <t>3140</t>
  </si>
  <si>
    <r>
      <rPr>
        <b/>
        <sz val="12"/>
        <rFont val="Times New Roman"/>
        <family val="1"/>
        <charset val="204"/>
      </rPr>
      <t xml:space="preserve">Комплексна програма  "Молоде покоління  м.Южноукраїнська" на 2016-2020 роки, </t>
    </r>
    <r>
      <rPr>
        <sz val="12"/>
        <rFont val="Times New Roman"/>
        <family val="1"/>
        <charset val="204"/>
      </rPr>
      <t>разом в тому числі в розрізі напрямів:</t>
    </r>
  </si>
  <si>
    <t>придбання новорічний подарунків дітям із соціальнонезахищених сімей, придбання ПММ для забезпечення військомату транспортом на період призовної кампанії</t>
  </si>
  <si>
    <t>проведення оплачуваних громадських робіт учнями загальноосвітніх закладів під час літніх канікул</t>
  </si>
  <si>
    <t>стипендія міського голови у галузі культури та спорту</t>
  </si>
  <si>
    <r>
      <rPr>
        <b/>
        <sz val="12"/>
        <rFont val="Times New Roman"/>
        <family val="1"/>
        <charset val="204"/>
      </rPr>
      <t>Комплексна програма  розвитку культури, фізичної культури, спорту та туризму в місті Южноукраїнську на 2014-2018 роки</t>
    </r>
    <r>
      <rPr>
        <sz val="12"/>
        <rFont val="Times New Roman"/>
        <family val="1"/>
        <charset val="204"/>
      </rPr>
      <t>,  всього в тому числі:</t>
    </r>
  </si>
  <si>
    <t>2414202</t>
  </si>
  <si>
    <t>4200</t>
  </si>
  <si>
    <t>0829</t>
  </si>
  <si>
    <t>Iншi культурно-освiтнi заклади та заходи</t>
  </si>
  <si>
    <t>організація та проведення заходів культурно - масового спрямування, придбання призів, квітів, подарунків, матеріалів для виготовлення декорацій, виготовлення символіки, атрибутики, оплата послуг артистів - 385,8 тис.грн., демонтаж та монтаж новорічної ялинки, придбання прикрас та ін. - 114,2 тис.грн. (одержувач коштів - КП СКГ)</t>
  </si>
  <si>
    <t>2415010</t>
  </si>
  <si>
    <t>5010</t>
  </si>
  <si>
    <t>Проведення спортивної роботи в регіоні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</si>
  <si>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</si>
  <si>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</si>
  <si>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олімпійських видів спорту, придбання призів, спортивної форми, спортінвентарю та ін.</t>
  </si>
  <si>
    <t>5012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</si>
  <si>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</si>
  <si>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неолімпійських видів спорту, придбання призів, спортивної форми, спортінвентарю та ін.</t>
  </si>
  <si>
    <t>5060</t>
  </si>
  <si>
    <t>Проведення загальноміських заходів та змагань з фізичної культури, придбання призів, спортивної форми, спортінвентарю та ін.</t>
  </si>
  <si>
    <t>Управління житлово - комунального господарства та будівництва Южноукраїнської міської ради</t>
  </si>
  <si>
    <r>
      <rPr>
        <b/>
        <sz val="12"/>
        <rFont val="Times New Roman"/>
        <family val="1"/>
        <charset val="204"/>
      </rPr>
      <t>Програма реформування і розвитку житлово-комунального господарства міста Южноукраїнська на 2016-2020 роки,</t>
    </r>
    <r>
      <rPr>
        <sz val="12"/>
        <rFont val="Times New Roman"/>
        <family val="1"/>
        <charset val="204"/>
      </rPr>
      <t xml:space="preserve"> всього в тому числі в розрізі напрямів:</t>
    </r>
  </si>
  <si>
    <t xml:space="preserve">Забезпечення надійного та безперебійного функціонування житлово-експлуатаційного господарства </t>
  </si>
  <si>
    <t>із них:</t>
  </si>
  <si>
    <t xml:space="preserve"> - поточний ремонт підвальних приміщень та внутрішньобудинкових інженерних мереж (для розташування індівідуальних теплових пунктів) у житлових будинках 1-5 микрорайонів - одержувач комунальне підприємство "Житлово-експлуатаційне об"єднання")</t>
  </si>
  <si>
    <t xml:space="preserve"> - поточний ремонт під’їздів в житлових будинках  -  одержувач комунальне підприємство "Житлово-експлуатаційне об"єднання"</t>
  </si>
  <si>
    <t>4016020</t>
  </si>
  <si>
    <t>6020</t>
  </si>
  <si>
    <t>Капітальний ремонт об'єктів житлового господарства</t>
  </si>
  <si>
    <t>Капітальний ремонт житлового фонду</t>
  </si>
  <si>
    <t>4016050</t>
  </si>
  <si>
    <t>6050</t>
  </si>
  <si>
    <t>Фінансова підтримка об'єктів комунального господарства</t>
  </si>
  <si>
    <t>4016052</t>
  </si>
  <si>
    <t>6052</t>
  </si>
  <si>
    <t>0620</t>
  </si>
  <si>
    <t>Забезпечення функціонування водопровідно-каналізаційного господарства</t>
  </si>
  <si>
    <t>Благоустрій  міст, сіл, селищ</t>
  </si>
  <si>
    <t xml:space="preserve">придбання обладнання для дитячих ігрових та спортивних майданчиків на прибудинкових територіях - одержувач комунальне підприємство "Житлово-експлуатаційне об'єднання" </t>
  </si>
  <si>
    <t>Програма стабілізації та соціально-економічного розвитку територій</t>
  </si>
  <si>
    <r>
      <rPr>
        <b/>
        <sz val="12"/>
        <rFont val="Times New Roman"/>
        <family val="1"/>
        <charset val="204"/>
      </rPr>
      <t>Програма Капітального будівництва об"єктів житлово-комунального господарства  і соціальної інфраструктури м.Южноукраїнську на 2016-2020 роки,</t>
    </r>
    <r>
      <rPr>
        <sz val="12"/>
        <rFont val="Times New Roman"/>
        <family val="1"/>
        <charset val="204"/>
      </rPr>
      <t xml:space="preserve"> всього в розрізі напрямів: </t>
    </r>
  </si>
  <si>
    <t>4016310</t>
  </si>
  <si>
    <t>Реалізація заходів щодо інвестиційного розвитку територій</t>
  </si>
  <si>
    <t>4016060</t>
  </si>
  <si>
    <t>6060</t>
  </si>
  <si>
    <t>0609</t>
  </si>
  <si>
    <t>4016021</t>
  </si>
  <si>
    <t>6021</t>
  </si>
  <si>
    <t>0610</t>
  </si>
  <si>
    <t>4011010</t>
  </si>
  <si>
    <t>0910</t>
  </si>
  <si>
    <t>Дошкільна освiта</t>
  </si>
  <si>
    <t xml:space="preserve">укріплення аварійних груп  дитячого навчального закладу №8 по вул.Набережна Енергетиків,31, в тому числі розробка  проектно-кошторисної документації на капітальний ремонт 2-х аварійних груп </t>
  </si>
  <si>
    <t>розробка  проектно-кошторисної документації  на облаштування  лічильниками тепла дошкільних навчальних закладів</t>
  </si>
  <si>
    <t>4011020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</si>
  <si>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</si>
  <si>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</si>
  <si>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садком,інтернатом при школі), спеціалізованими школами, ліцеями, гімназіями, колегіумами</t>
  </si>
  <si>
    <t xml:space="preserve">розробка  проектно-кошторисної документації та проведення експертизи по капітальному ремонту   (заміна вікон) загальньоосвітніх  школ м. Южноукраїнська , в тому числі: ЗОШ №1  І-ІІІ ступенів імені Захисників вітчизни по бул. Курчатова, 8  - 3230,2 тис. грн.;    ЗОШ №3  І-ІІІ ступенів  по бул.Цвіточний,5 - 3469,8 тис. грн.;  </t>
  </si>
  <si>
    <t>розробка  проектно-кошторисної документації  на облаштування  лічильниками тепла загальноосвітніх шкіл та гімназії</t>
  </si>
  <si>
    <r>
      <rPr>
        <b/>
        <sz val="12"/>
        <rFont val="Times New Roman"/>
        <family val="1"/>
        <charset val="204"/>
      </rPr>
      <t xml:space="preserve">Програма управління  майном комунальної форми власності  міста Южноукраїнська на 2015-2019 роки, </t>
    </r>
    <r>
      <rPr>
        <sz val="12"/>
        <rFont val="Times New Roman"/>
        <family val="1"/>
        <charset val="204"/>
      </rPr>
      <t>всього, в тому числі в розрізі напрямів:</t>
    </r>
  </si>
  <si>
    <t>4017420</t>
  </si>
  <si>
    <t>7420</t>
  </si>
  <si>
    <r>
      <rPr>
        <b/>
        <sz val="12"/>
        <rFont val="Times New Roman"/>
        <family val="1"/>
        <charset val="204"/>
      </rPr>
      <t>Програма енергозбереження в сфері житлово-комунального господарства м.Южноукраїнська на 2016-2020 роки</t>
    </r>
    <r>
      <rPr>
        <sz val="12"/>
        <rFont val="Times New Roman"/>
        <family val="1"/>
        <charset val="204"/>
      </rPr>
      <t xml:space="preserve"> , всього в т.ч. розрізі напрямів: </t>
    </r>
  </si>
  <si>
    <t>Заміна світильників вуличного освітлення на енергозберігаючі (одержувач бюджетних коштів - комунальне підприємство "Служба комунального господарства")</t>
  </si>
  <si>
    <t xml:space="preserve">Програма стабілізації та соціально-економічного розвитку територій                                                                      </t>
  </si>
  <si>
    <t>Видатки, пов’язані із підготовкою об’єктів до приватизації</t>
  </si>
  <si>
    <r>
      <rPr>
        <b/>
        <sz val="12"/>
        <rFont val="Times New Roman"/>
        <family val="1"/>
        <charset val="204"/>
      </rPr>
      <t>Програма поводження з твердими побутовими  відходами   на території міста Южноукраїнська на 2013 - 2020 роки</t>
    </r>
    <r>
      <rPr>
        <sz val="12"/>
        <rFont val="Times New Roman"/>
        <family val="1"/>
        <charset val="204"/>
      </rPr>
      <t xml:space="preserve"> в частині </t>
    </r>
  </si>
  <si>
    <t>капітальний ремонт електричних мереж на полігоні твердих побутових відходів (одержувач бюджетних коштів - комунальне підприємство "Служба комунального господарства")</t>
  </si>
  <si>
    <t xml:space="preserve">Благоустрій  міст, сіл, селищ </t>
  </si>
  <si>
    <t>ветеренарні послуги та медикаменти (одержувач бюджетних коштів - комунальне підприємство "Служба комунального господарства")</t>
  </si>
  <si>
    <t>харчування тварин у притулку (одержувач бюджетних коштів - комунальне підприємство "Служба комунального господарства")</t>
  </si>
  <si>
    <t>6010</t>
  </si>
  <si>
    <t>Забезпечення надійного та безперебійного функціонування житлово-експлуатаційного господарства</t>
  </si>
  <si>
    <t>поточний ремонт під'їздів в житлових будинках, в яких створено об'єднання співвласників багатоквартирних будинків</t>
  </si>
  <si>
    <t>4016022</t>
  </si>
  <si>
    <t xml:space="preserve">Капітальний ремонт  житлового фонду об'єднань співвласників багатоквартирних будинків </t>
  </si>
  <si>
    <t>Реалізація заходів щодо інвестиційного розвитку території</t>
  </si>
  <si>
    <t>Управління екології, охорони навколишнього середовища та земельних відносин Южноукраїнської міської ради</t>
  </si>
  <si>
    <t>6017310</t>
  </si>
  <si>
    <t>7310</t>
  </si>
  <si>
    <t>0420</t>
  </si>
  <si>
    <t>Проведення заходів із землеустрою</t>
  </si>
  <si>
    <t>виготовлення документації із земельних питань (проект землеустрою, документація для земельних торгів, звіт з експертної оцінки)</t>
  </si>
  <si>
    <t>9110</t>
  </si>
  <si>
    <t>0511</t>
  </si>
  <si>
    <t>Управління з питань надзвичайних ситуацій та взаємодії з правоохоронними органами Южноукраїнської міської ради</t>
  </si>
  <si>
    <t>7810</t>
  </si>
  <si>
    <t>0320</t>
  </si>
  <si>
    <t>Видатки на запобігання та ліквідацію надзвичайних ситуацій та наслідків стихійного лиха</t>
  </si>
  <si>
    <r>
      <t xml:space="preserve">Цільова  програма захисту населення і територій від надзвичайних ситуацій техногенного та природного  характеру  на 2014-2017 роки </t>
    </r>
    <r>
      <rPr>
        <sz val="12"/>
        <rFont val="Times New Roman"/>
        <family val="1"/>
        <charset val="204"/>
      </rPr>
      <t xml:space="preserve"> вчастині експлуатаційно - технічного обслуговування та ремонту системи оповіщення</t>
    </r>
  </si>
  <si>
    <t>Фінансове управління Южноукраїнської міської ради</t>
  </si>
  <si>
    <t>7518599</t>
  </si>
  <si>
    <t>ВСЬОГО</t>
  </si>
  <si>
    <t>2413143</t>
  </si>
  <si>
    <t>3143</t>
  </si>
  <si>
    <t xml:space="preserve">Реалізація державної політики у молодіжній сфері </t>
  </si>
  <si>
    <t>Інші зазоди молодіжної політики(міська комплексна програма "Молоде покоління міста Южноукраїнська" на 2016-2020 роки )</t>
  </si>
  <si>
    <t>Інші заходи з розвитку фізичної культури та спорту</t>
  </si>
  <si>
    <t>Забезпечення діяльності місцевих центрів фізичного здоро*я населення "Спорт для всіх" та проведення фізкультурно - масових заходів серед населення регіону (програма розвитку культури, фізичної культури, спорту та туризму в м.Южноукраїнську на 2014-2018 роки )</t>
  </si>
  <si>
    <t>2415061</t>
  </si>
  <si>
    <t>5061</t>
  </si>
  <si>
    <t xml:space="preserve"> улаштування господарських майданчиків для подальшого для подальшого становлення конструкцій для роздільного сортування сміття - одержувач бюджетних коштів - комунальне підприємство "Житлово-експлуатаційне об"еднання")</t>
  </si>
  <si>
    <t xml:space="preserve"> ямковий ремонт внутрішньо квартальних проїздів - одержувач бюджетних коштів - комунальне підприємство "Житлово-експлуатаційне об"еднання"</t>
  </si>
  <si>
    <t xml:space="preserve"> придбання та встановлення програмного забезпечення для комунальної системи комерційно – технологічної диспетчеризації, розроблення автоматизованої системи обліку комунальних платежів - одержувач бюджетних коштів - комунальне підприємство "Теплопостачання та водо-каналізаційне господарство")</t>
  </si>
  <si>
    <t xml:space="preserve"> реалізація заходів щодо інвестиційного розвитку територій </t>
  </si>
  <si>
    <t>капітальний  ремонт  сходів  на перехресті проспекту Соборності та проспекту Незалежності з влаштуванням пандусу</t>
  </si>
  <si>
    <t xml:space="preserve"> улаштування поручнів біля та в під’їздах ж/будинків </t>
  </si>
  <si>
    <t xml:space="preserve"> - поточний ремонт гуртожитку №1 під квартири</t>
  </si>
  <si>
    <t>придбання механічних  граблей для каналізаційної насосної станції  - 2 (КНС-2) одержувач бюджетних коштів - комунальне підприємство "Теплопостачання та водо-каналізаційне господарство"</t>
  </si>
  <si>
    <t xml:space="preserve">придбання установки для нанесення горизонтальної розмітки - одержувач комунальне підприємстве "Служба комунального господарства"  </t>
  </si>
  <si>
    <t xml:space="preserve"> електроенергія вуличного освітлення міста та зовнішнього освітлення міського цвинтаря - одержувач  комунальне підприємстве "Служба комунального господарства"  </t>
  </si>
  <si>
    <t>Впорядкування (планування) грунту діючого полігону твердих побутових відходів (одержувач бюджетних коштів - комунальне підприємство "Служба комунального господарства")</t>
  </si>
  <si>
    <t>капітальний ремонт внутрішньобудинкових інженерних мереж житлових будинків, в яких створено об'єднання співвласників багатоквартирних будинків, за відповідними адресами</t>
  </si>
  <si>
    <t xml:space="preserve">капітальний ремонт ліфтів житлових будинків, в яких створено об'єднання співвласників багатоквартирних будинків, за відповідними адресами </t>
  </si>
  <si>
    <t xml:space="preserve">реконструкція внутрішньобудинкових електричних мереж житлового будинку за адресою вул.Дружби Народів, 52  </t>
  </si>
  <si>
    <t>реконструкція внутрішньобудинкових електричних мереж житлового будинку за адресою вул. Дружби Народів, 56</t>
  </si>
  <si>
    <t>Міська програма розвитку земельних відносин на  2017 - 2021  рр., всього, в т.ч.</t>
  </si>
  <si>
    <r>
      <t xml:space="preserve">Міська програма "Фонд міської ради на виконання депутатських повноважень" на 2017 рік </t>
    </r>
    <r>
      <rPr>
        <sz val="12"/>
        <rFont val="Times New Roman"/>
        <family val="1"/>
        <charset val="204"/>
      </rPr>
      <t>в частині видатків на виконання депутатами міської ради доручень виборців</t>
    </r>
  </si>
  <si>
    <t>Охорона та раціональне використання природних ресурсів</t>
  </si>
  <si>
    <t xml:space="preserve">обслуговування  об"ектів благоустрою міста- одержувач бюджетних коштів - комунальне підприємство "Служба комунального господарства"  </t>
  </si>
  <si>
    <t>фінансова допомога комунальному підприємству "Теплопостачання та водо-каналізаційне господарство" на погашення кредиторської заборгованості за спожиту електроенергію -одержувач бюджетних коштів - комунальному підприємству "Теплопостачання та водо-каналізаційне господарство"</t>
  </si>
  <si>
    <r>
      <rPr>
        <b/>
        <sz val="12"/>
        <rFont val="Times New Roman"/>
        <family val="1"/>
        <charset val="204"/>
      </rPr>
      <t>Програма приватизації об"єктів, що належать до комунальної власності територіальної громади міста Южноукраїнська на 2015-2017 роки</t>
    </r>
  </si>
  <si>
    <r>
      <rPr>
        <b/>
        <sz val="12"/>
        <rFont val="Times New Roman"/>
        <family val="1"/>
        <charset val="204"/>
      </rPr>
      <t>Програма  охорони тваринного світу та регулювання чисельності бродячих тварин в місті  Южноукраїнську на 2017-2021 рок</t>
    </r>
    <r>
      <rPr>
        <sz val="12"/>
        <rFont val="Times New Roman"/>
        <family val="1"/>
        <charset val="204"/>
      </rPr>
      <t>и, всього в т.ч. розрізі напрямів</t>
    </r>
  </si>
  <si>
    <t>6022</t>
  </si>
  <si>
    <r>
      <t xml:space="preserve">Програма  розвитку донорства крові  та її компонентів на 2017-2021 р.р. </t>
    </r>
    <r>
      <rPr>
        <sz val="12"/>
        <rFont val="Times New Roman"/>
        <family val="1"/>
        <charset val="204"/>
      </rPr>
      <t>в частині виплати компенсації на харчування донорів</t>
    </r>
  </si>
  <si>
    <t xml:space="preserve">Соціальна програма підтримки учасииків АТО та членів їх сімей  на 2016-2020 рік всього, в т.ч. </t>
  </si>
  <si>
    <r>
      <t>Міська Програма захисту прав дітей міста Южноукраїнська "Дитинство"на 2013-2017 роки</t>
    </r>
    <r>
      <rPr>
        <sz val="12"/>
        <rFont val="Times New Roman"/>
        <family val="1"/>
        <charset val="204"/>
      </rPr>
      <t xml:space="preserve"> в частині проведеня заходів, виготовлення агітаційного матеріалу</t>
    </r>
  </si>
  <si>
    <t>Найменування міської  програми та її напрями (заходи)</t>
  </si>
  <si>
    <t>затверджено на 2017 рік</t>
  </si>
  <si>
    <t>затверджено на відповідний період</t>
  </si>
  <si>
    <t>відсоток виконання до річного плану, %</t>
  </si>
  <si>
    <t>придбання матеріалів для проведення конкурсів</t>
  </si>
  <si>
    <t xml:space="preserve"> премія міського голови "Кращий освітянин року"</t>
  </si>
  <si>
    <t>проведення конкурсу "Вчитель року" та конкурсу  творчих проектів "Влада- це я"</t>
  </si>
  <si>
    <t xml:space="preserve"> - капітальний ремонт житлового фонду в т.ч. одержувач комунальне підприємство "Житлово-експлуатаційне об"єднання" - 1200,0 тис. грн.</t>
  </si>
  <si>
    <r>
      <t xml:space="preserve">Міська програма підтримки об'єднання співвласників багатоквартирних будинків на  2016-2018 рр. , </t>
    </r>
    <r>
      <rPr>
        <sz val="12"/>
        <rFont val="Times New Roman CYR"/>
        <charset val="204"/>
      </rPr>
      <t>всього в т.ч. розрізі напрямів</t>
    </r>
  </si>
  <si>
    <t xml:space="preserve">капітальний ремонт   (заміна вікон) загальньоосвітньої  школи №1  І-ІІІ ступенів імені Захисників вітчизни по бул. Курчатова, 8 ;     </t>
  </si>
  <si>
    <t>капітальний ремонт   (заміна вікон) загальньоосвітньої  школи №3  І-ІІІ ступенів  по бул.Цвіточний,5</t>
  </si>
  <si>
    <t xml:space="preserve">розробка  проектно-кошторисної документації та капітальний ремонт 2-х аварійних груп </t>
  </si>
  <si>
    <t xml:space="preserve">укріплення аварійних груп  дитячого навчального закладу №8 по вул.Набережна Енергетиків,31, </t>
  </si>
  <si>
    <t xml:space="preserve">придбання  грамот, листівок, подарунків, квітів, тощо </t>
  </si>
  <si>
    <t xml:space="preserve">сплата членських внесків до Асоціації міст України  та  Асоціації  енергоефективних міст України, </t>
  </si>
  <si>
    <t>проведення заходів (харчування)</t>
  </si>
  <si>
    <t>пільги почесним громадянам міста</t>
  </si>
  <si>
    <t>компенсація вартості житлово - комунальних послуг</t>
  </si>
  <si>
    <t xml:space="preserve">    - виготовлення пам"яток  для ознайомлення  мешканців  житлових будинків міста з інформацією щодо реформування основних напрямків житлово-комунального господарства</t>
  </si>
  <si>
    <t xml:space="preserve">поточний ремонт об’єктів благоустрою міста- одержувач бюджетних коштів - комунальне підприємство "Служба комунального господарства"  </t>
  </si>
  <si>
    <t>Аналіз використання бюджетних коштів по міським програмам на 2017 рік,     станом на 01.04.2017 р.</t>
  </si>
  <si>
    <t>касові видатки  станом на 01.04.2017</t>
  </si>
  <si>
    <t>вивізення сміття з несанкціонованих звалищ в районі "Бранденбурга" та вул.Набережна Енергетиків (спуск до міського пляжу)- одержувач бюджетних коштів - комунальне підприємство "Служба комунального господарства"</t>
  </si>
  <si>
    <t>Благоустрій міст, сіл, селищ</t>
  </si>
  <si>
    <t xml:space="preserve">проведення інвентарізації земель та виготовлення правовстановлюючих документів на земельні ділянки комунальної форми власності комунального підприємства "Служба комунального господарства" </t>
  </si>
  <si>
    <r>
      <rPr>
        <b/>
        <sz val="12"/>
        <rFont val="Times New Roman Cyr"/>
        <charset val="204"/>
      </rPr>
      <t>Програма охорони  довкілля та раціонального природокористування міста Южноукраїнська на 2016-2020 роки</t>
    </r>
    <r>
      <rPr>
        <sz val="12"/>
        <rFont val="Times New Roman CYR"/>
        <charset val="204"/>
      </rPr>
      <t xml:space="preserve"> в частині </t>
    </r>
  </si>
  <si>
    <t>видалення сухостійних дерев, кронування, обрізка сухого гілля, тощо</t>
  </si>
  <si>
    <t xml:space="preserve"> поточний ремонт приміщень  гуртожитку №3 за адресою вул. Миру,9</t>
  </si>
  <si>
    <t>поточний ремонт квартири комунальної  форми власності  № 73 в житловому будинку  по прт.Незалежності,5</t>
  </si>
  <si>
    <t xml:space="preserve">    поточний ремонт квартири комунальної  форми власності  № 74  в житловому будинку  по прт.Незалежності,5</t>
  </si>
  <si>
    <t>9181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</si>
  <si>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</si>
  <si>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поточного ремонту приміщень гуртожитку № 3 за адресою вул. Миру, 9 за рахунок залишку коштів Цільового фонду Южноукраїнської міської ради для вирішення питань розвитку інфраструктури міста станом на 01.01.2017р.</t>
  </si>
  <si>
    <t>4016051</t>
  </si>
  <si>
    <t>6051</t>
  </si>
  <si>
    <t xml:space="preserve">Забезпечення функціонування теплових мереж </t>
  </si>
  <si>
    <t xml:space="preserve"> розробка проектно-кошторисної документації та проведення експертизи по капітальному ремонту трубопроводів теплових мереж  від МК-24 до МК-26 б по пр-т. Незалежності м. Южноукраїнська Миколаївської області </t>
  </si>
  <si>
    <t xml:space="preserve"> придбання повірочних пролівних  установок: стаціонарної АС-25 та переносної  АС-П</t>
  </si>
  <si>
    <t>проведення санітарно-хімічних та бактеріологічних досліджень питної води</t>
  </si>
  <si>
    <t>Програма "Питна вода  міста  Южноукраїнська на 2007-2020 роки"</t>
  </si>
  <si>
    <t xml:space="preserve">забезпечення захисту від надзвичайних ситуацій  та подій техногенного, природного та соціального характеру на адміністративній території міста (фінансування  заходів із запобігання та ліквідації), а саме технічне обстеження та розробка проектно-кошторисної документації (за необхідності)  з відновлення несучої спроможності конструктиву стінових панелей та плит перекриття  під’їзду №7  житлового будинку за адресою прт.Незалежності,20 після пожежі </t>
  </si>
  <si>
    <t xml:space="preserve">Цільова  програма захисту населення і територій від надзвичайних ситуацій техногенного та природного  характеру  на 2014-2017 роки  </t>
  </si>
  <si>
    <t>Видавнича діяльність</t>
  </si>
  <si>
    <t>3031</t>
  </si>
  <si>
    <t>3033</t>
  </si>
  <si>
    <t>3034</t>
  </si>
  <si>
    <t>придбання сан-курортних путівок ВВВ та праці</t>
  </si>
  <si>
    <t>відшкодування вартості проїзду постраждалим внаслідок ЧАЕС</t>
  </si>
  <si>
    <t xml:space="preserve">пільги на абонплату за користування телефоном окремим категоріям громадян </t>
  </si>
  <si>
    <t>Поточний ремонт пішохідних доріжок на прибудинкових територіях - комунальне підприємство "Житлово-експлуатаційне об"еднання"</t>
  </si>
  <si>
    <t>Поточний ремонт сходів на дитячому майданчику пр. Незалежності,24 - комунальне підприємство "Житлово-експлуатаційне об"еднання"</t>
  </si>
  <si>
    <t>Облаштування додаткового карману для паркування автотранспорту по вулиці Молодіжна біля житлового будинку № 5</t>
  </si>
  <si>
    <t>Придбання двох одиниць фрезерних машин типу HONKER</t>
  </si>
  <si>
    <t>Придбання навісного обладнання (фрези дорожньої) для проведення ямкового ремонту покриття доріг</t>
  </si>
  <si>
    <t>Розроблення, придбання та встановлення програмного забезпечення автоматизованої системи обліку комунальних платежів</t>
  </si>
  <si>
    <t xml:space="preserve">придбання снігоприбиральної техніки   - одержувач комунальне підприємство "Житлово-експлуатаційне об'єднання" </t>
  </si>
  <si>
    <t>Капітальний ремонт приміщень для розміщення лабораторії по повірці приладів споживання води та тепла за адресою вул. Дружби Народів,23</t>
  </si>
  <si>
    <t>Капітальний ремонт покрівлі адміністративно-виробничої будівлі по вул. Дружби Народів,23</t>
  </si>
  <si>
    <t xml:space="preserve">Зарезервований ресурс на стабілізацію фінансового стану КП ТВКГ (до моменту позитивного вирішення щодо порушеного кредитором впровадження справи про банкрутство) </t>
  </si>
  <si>
    <t>Фінансова допомога комунальному підприємству "Теплопостачання та водо-каналізаційне господарство" для забезпеченяя надання послуг з тепло-водопостачання та водовідведення: придбання паливно-мастильних матеріалів</t>
  </si>
  <si>
    <t>Фінансова допомога комунальному підприємству "Теплопостачання та водо-каналізаційне господарство" для забезпеченяя надання послуг з тепло-водопостачання та водовідведення: придбання матеріалів для ремонту мереж, КНС, ТРП та придбання витратних матеріалів для забезпечення роботи комп"ютерної техніки підприємства</t>
  </si>
  <si>
    <t>Фінансова допомога КП "Критий ринок" (оплата заборгованості по земельному податку, комунальним послугам, електроенергії)</t>
  </si>
  <si>
    <t>Програма розвитку дорожнього руху та його безпеки в місті Южноукраїнську на 2013-2017 роки</t>
  </si>
  <si>
    <t>всього, в т.ч. в розрізі об"ектів:</t>
  </si>
  <si>
    <r>
      <t xml:space="preserve">Міська програма "Фонд міської ради на виконання депутатських повноважень" на 2017 рік </t>
    </r>
    <r>
      <rPr>
        <sz val="12"/>
        <rFont val="Times New Roman"/>
        <family val="1"/>
        <charset val="204"/>
      </rPr>
      <t>в частині надання матеріальної допомоги на проведення курсу реабілітаційного лікування дитини - інваліда в Міжнародній клініці відновного лікування м.Трускавець</t>
    </r>
  </si>
  <si>
    <t>3403</t>
  </si>
  <si>
    <t>1513403</t>
  </si>
  <si>
    <t>Міська комплексна програма "Профілактика злочинності та вдосконалення системи захисту конституційних прав і свобод громадян в місті Южноукраїнську на 2017-2021 роки</t>
  </si>
  <si>
    <t>6717101</t>
  </si>
  <si>
    <t>7101</t>
  </si>
  <si>
    <t>0380</t>
  </si>
  <si>
    <t xml:space="preserve">Інші правоохоронні заходи і заклади </t>
  </si>
  <si>
    <t xml:space="preserve">надання матеріальної допомоги членам громадського формування </t>
  </si>
  <si>
    <t>6718601</t>
  </si>
  <si>
    <t>виконання проектно – дослідницьких та кошторисних робіт проекту системи відеоспостереження міста Южноукраїнська</t>
  </si>
  <si>
    <t xml:space="preserve"> співфінансування з обласним бюджетом для придбання житла для сімей учасників бойових дій, які безпосередньо приймали участь в АТО</t>
  </si>
  <si>
    <t>1516324</t>
  </si>
  <si>
    <t>6324</t>
  </si>
  <si>
    <t>Будівництво на придбання житла для окремих категорій населення(міська соціальна програма підтримки учасників АТО та членів їх сімей на 2016-2020 року)</t>
  </si>
  <si>
    <t>Проведення невідкладних відновлювальних робіт, будівництво та реконструкція загальноосвітніх навчальних закладів</t>
  </si>
  <si>
    <t>4016330</t>
  </si>
  <si>
    <t>6330</t>
  </si>
  <si>
    <t>будівництво спортивної зали  гімназії №1  по бульвару Курчатова,6 в м.Южноукраїнську Миколаївській обл., в тому числі розробка проектно-кошторисної документації</t>
  </si>
  <si>
    <t>видатки, пов’язані із утриманням, управлінням майном комунальної власності, в тому числі витрати, пов"язані  з ліквідацією комунального підприємства "Південсервіс" шляхом банкрутства (оплата послуг ліквідатору КП "Південсервіс") в сумі 38,4 тис.грн.</t>
  </si>
  <si>
    <t>придбання шприцемету в комплекті та сіткомету</t>
  </si>
  <si>
    <t>придбання пристрою для захоплення тварин  - (одержувач бюджетних коштів - комунальне підприємство "Служба комунального господарства")</t>
  </si>
  <si>
    <t>капітальний ремонт дорожнього покриття вулиці Дружби Народів (КП СКГ)</t>
  </si>
  <si>
    <t>розробка схеми організації дорожнього руху (КП СКГ)</t>
  </si>
  <si>
    <t>'Програма зайнятості  населення міста Южноукраїнська на період  до 2017 року в частині оплачуваних громадських робіт на умовах співфінансування з  Южноукраїнським міським центром зайнятості</t>
  </si>
  <si>
    <t xml:space="preserve">Поточний ремонт покрівлі виробничої бази на вул. Набережна Енергетиків,30  (одержувач комунальне підприємство "Служба комунального господарства")  </t>
  </si>
  <si>
    <t xml:space="preserve">Поточний ремонт металевої огорожі вздовж виробничо-технічного комплексу "Берізка"(одержувач комунальне підприємство "Служба комунального господарства")  </t>
  </si>
  <si>
    <t>придбання земельних ділянок для суспільних потреб (міський цвінтар)    (одержувач бюджетних коштів - комунальне підприємство "Служба комунального господарства")</t>
  </si>
  <si>
    <t>Аналіз використання бюджетних коштів по міським програмам на 2017 рік,     станом на 01.05.2017 р.</t>
  </si>
  <si>
    <t>касові видатки  станом на 01.05.2017</t>
  </si>
  <si>
    <t>поточний ремонт квартири комунальної  форми власності  № 74  в житловому будинку  по прт.Незалежності,5</t>
  </si>
  <si>
    <t xml:space="preserve">капітальний ремонт (укріплення) аварійних груп  дошкільного навчального закладу №8 "Казка"по вул.Набережна Енергетиків,31 м.Южноукраїнська, в тому числі проведення технічного обстеження, розробка проектно-кошторисної документації   та проведення  експертизи </t>
  </si>
  <si>
    <t xml:space="preserve">капітальний ремонт   (заміна вікон) загальньоосвітньої  школи №1  І-ІІІ ступенів імені Захисників вітчизни по бул. Курчатова, 8  м. Южноукраїнська, в тому числі  корегування проектно-кошторисної документації та проведення експертизи </t>
  </si>
  <si>
    <t xml:space="preserve">капітальний ремонт   (заміна вікон та встановлення перегородок в санвузлах) загальньоосвітньої  школи №3  І-ІІІ ступенів  по бул.Цвіточний,5 м. Южноукраїнська, в тому числі  корегування проектно-кошторисної документації та проведення експертизи    </t>
  </si>
  <si>
    <t>Цільова  програма захисту населення і територій від надзвичайних ситуацій техногенного та природного  характеру  на 2014-2017 роки</t>
  </si>
  <si>
    <t xml:space="preserve"> експлуатаційно - технічне обслуговування та ремонт системи оповіщення</t>
  </si>
  <si>
    <t xml:space="preserve"> придбання спорядження для аварійно - рятувальних та аварійно - відновлювальних бригад спеціалізованих служб цивільного захисту населення міста </t>
  </si>
  <si>
    <t xml:space="preserve">  придбання  комп"ютерної та оргтехніки, витратних матеріалів до них для роботи  програмного забезпечення  автоматизованої системи обліку комунальних платежів - одержувач бюджетних коштів - комунальне підприємство "Теплопостачання та водо-каналізаційне господарство")</t>
  </si>
  <si>
    <t>Зарезервований ресурс на стабілізацію фінансового стану КП ТВКГ (до моменту позитивного вирішення щодо порушеного кредитором впровадження справи про банкрутство)  -одержувач бюджетних коштів - КП ТВКГ</t>
  </si>
  <si>
    <t>Фінансова допомога комунальному підприємству "Теплопостачання та водо-каналізаційне господарство" для забезпеченяя надання послуг з тепло-водопостачання та водовідведення: придбання паливо-мастильних матеріалів</t>
  </si>
  <si>
    <t>Фінансова допомога КП "Критий ринок" (оплата заборгованості по земельному податку, комунальним послугам, електроенергії) - одержувач КП "Критий ринок"</t>
  </si>
  <si>
    <t>розробка проекту землеустрою щодо' встановлення прибережної захисної смуги в межах населеного пункту</t>
  </si>
  <si>
    <t>в частині ліквідації негативних наслідків техногенного  впливу на насадження (видалення сухостійних дерев, кронування, обрізка сухого гілля, тощо в сумі 106,0 тис.грн.; підсів газонів з підсипанням грунту на території міста в сумі 34,0 тис.грн.)</t>
  </si>
  <si>
    <t>вивізення сміття з несанкціонованих звалищ в районі "Брандербурга" - 44,450 тис.грн. та вул. Набережна Енергетиків (спуск до міського пляжу) - 26,274 тис.грн. з  встановленням тимчасової огорожі - 65,0 тис.грн. - одержувач бюджетних коштів - комунальне підприємство "Служба комунального господарства"</t>
  </si>
  <si>
    <t>ямковий ремонт внутрішньо квартальних проїздів - одержувач бюджетних коштів - комунальне підприємство "Житлово-експлуатаційне об"еднання"</t>
  </si>
  <si>
    <t>Аналіз використання бюджетних коштів по міським програмам на 2017 рік,     станом на 01.06.2017 р.</t>
  </si>
  <si>
    <t>касові видатки  станом на 01.06.2017</t>
  </si>
  <si>
    <t>придбання труб непластифікованих, фланців, запірної арматури та інших матеріалів для  виконання ремонтних робіт на зовнішніх водопровідних  мережах м.Южноукраїнська</t>
  </si>
  <si>
    <t xml:space="preserve">підготовка документації із землеустрою на земельні ділянки передбачені для проведення земельних торгів, виготовлення звітів з експертної оцінки земельних ділянок </t>
  </si>
  <si>
    <t>вивезення сміття з несанкціонованих звалищ в районі "Бранденбурга" - одержувач бюджетних коштів - комунальне підприємство "Служба комунального господарства"</t>
  </si>
  <si>
    <t>виготовлення проектів із землеустрою щодо відведення земельних ділянок комунальної форми власності комунального підприємства "Житлово-експлуатаційне об"єднання" в постійне користування для будівництва та  обслуговування  майданчиків для впровадження роздільного  збирання твердих побутових відходів на прибудинкових ткриторіях міста Южноукраїнська</t>
  </si>
  <si>
    <t>2414203</t>
  </si>
  <si>
    <t>Інші культурно-освітні заклади (міська програма "Фонд міської ради на виконання депутатських повноважень на 2017р.")</t>
  </si>
  <si>
    <t>організація та проведення міжнародного фестивалю-конкурсу "Місто дитинства"</t>
  </si>
  <si>
    <t>Придбання запчастин для проведення ремонту трактору МТЗ-80 ОПТ-9195</t>
  </si>
  <si>
    <t>ветеренарні послуги та медикаменти, ремонт нежитлових приміщень та споруд для тимчасового утримання бродячих тварин (одержувач бюджетних коштів - комунальне підприємство "Служба комунального господарства")</t>
  </si>
  <si>
    <t>Придбання основних засобів, інструментів (віброплита, оприскувач бензиновий, мотоножниці бензинові)</t>
  </si>
  <si>
    <t>Придбання туалетних кабінок (біотуалетів)</t>
  </si>
  <si>
    <t>Облаштування торгівельного майданчику "Привокзальний ринок" об"єкту "Критий ринок"</t>
  </si>
  <si>
    <t>1513132</t>
  </si>
  <si>
    <t>Департамент соціальних питань  та охорони здоров*я  Южноукраїнської міської ради</t>
  </si>
  <si>
    <t>Департамент  інфраструктури міського господарства Южноукраїнської міської ради</t>
  </si>
  <si>
    <r>
      <t xml:space="preserve">Комплексна програма  "Молоде покоління  м.Южноукраїнська" на 2016-2020 роки, </t>
    </r>
    <r>
      <rPr>
        <sz val="12"/>
        <rFont val="Times New Roman"/>
        <family val="1"/>
        <charset val="204"/>
      </rPr>
      <t>разом в тому числі в розрізі напрямів:</t>
    </r>
  </si>
  <si>
    <r>
      <rPr>
        <b/>
        <sz val="12"/>
        <rFont val="Times New Roman"/>
        <family val="1"/>
        <charset val="204"/>
      </rPr>
      <t>Комплексна програма  "Молоде покоління  м.Южноукраїнська" на 2016-2020 роки</t>
    </r>
    <r>
      <rPr>
        <sz val="12"/>
        <rFont val="Times New Roman"/>
        <family val="1"/>
        <charset val="204"/>
      </rPr>
      <t>, разом в тому числі проведення загальноміських заходів (День сім*ї, День матері, День захисту дітей та ін.)</t>
    </r>
  </si>
  <si>
    <t>проведення загальноміських заходів (День сім*ї та ін.)</t>
  </si>
  <si>
    <t>придбання лікарських засобів для проведення хіміопрофілактики туберкульозу у контактних, ВІЛ-інфікованих та тубінфікованих дітей та препаратів для профілактики побічної дії протитуберкульозних і хіміотерапевтичних засобів</t>
  </si>
  <si>
    <t xml:space="preserve">Міська програма "Фонд міської ради на виконання депутатських повноважень" на 2017 рік </t>
  </si>
  <si>
    <t>2414090</t>
  </si>
  <si>
    <t>4090</t>
  </si>
  <si>
    <t>0828</t>
  </si>
  <si>
    <t xml:space="preserve"> - палаци і будинки культури, клуби та інші заклади клубного типу</t>
  </si>
  <si>
    <t>придбання жилеток та метеликів для оркестрантів Южноукраїнського міського духового оркестру</t>
  </si>
  <si>
    <t>Фінансова допомога КП "Критий ринок" (оплата заборгованості по земельному податку, комунальним послугам, електроенергії; розрахункові виплати при звільнені працівників КП "Критий ринок" з нарахуваннями ) - одержувач КП "Критий ринок"</t>
  </si>
  <si>
    <t>капітальний ремонт дорожнього покриття автодороги вулиці Дружби Народів (КП СКГ)</t>
  </si>
  <si>
    <t>касові видатки  станом на 01.07.2017</t>
  </si>
  <si>
    <t>6650</t>
  </si>
  <si>
    <t>0465</t>
  </si>
  <si>
    <t>Утримання та розвиток інфраструктури доріг</t>
  </si>
  <si>
    <r>
      <rPr>
        <b/>
        <sz val="12"/>
        <rFont val="Times New Roman"/>
        <family val="1"/>
        <charset val="204"/>
      </rPr>
      <t>Міська Програма щодо організації мобілізаційної роботи в місті Южноукраїнську на 2014-2017 роки</t>
    </r>
    <r>
      <rPr>
        <sz val="12"/>
        <rFont val="Times New Roman"/>
        <family val="1"/>
        <charset val="204"/>
      </rPr>
      <t> в частині видатків на придбання ПММ для забезпечення проведення мобілізаційної підготовки , навчальних зборів</t>
    </r>
  </si>
  <si>
    <t>Придбання основних засобів, інструментів (фрезерних машин, віброплита, оприскувач бензиновий)</t>
  </si>
  <si>
    <t>Капітальний ремонт приміщень для розміщення лабораторії по повірці приладів споживання води та тепла за адресою вул. Дружби Народів,23 у т.ч. плата за видачу сертифіката для закінчених будівництвом об’єктів</t>
  </si>
  <si>
    <t>Аналіз використання бюджетних коштів по міським програмам на 2017 рік, станом на 01.07.2017 р.</t>
  </si>
  <si>
    <t>Аналіз використання бюджетних коштів по міським програмам на 2017 рік, станом на 01.08.2017 р.</t>
  </si>
  <si>
    <t>касові видатки  станом на 01.08.2017</t>
  </si>
  <si>
    <t xml:space="preserve">капітальний ремонт   санітарних вузлів загальньоосвітньої  школи №1  І-ІІІ ступенів імені Захисників вітчизни по бул. Курчатова, 8  м. Южноукраїнська, в тому числі  корегування проектно-кошторисної документації та проведення експертизи </t>
  </si>
  <si>
    <t xml:space="preserve"> поточний ремонт  (сантехнічні роботи)  підвальних приміщень для розташування індівідуальних теплових пунктів у  житлових будинках  - одержувач комунальне підприємство "Житлово-експлуатаційне об"єднання")</t>
  </si>
  <si>
    <t xml:space="preserve">поточний ремонт приміщень  гуртожитку №3 за адресою вул. Миру,9 в частині ремонту електричних мереж - одержувач комунальне підприємство "Житлово-експлуатаційне об"єднання" </t>
  </si>
  <si>
    <t xml:space="preserve">видалення гілля, обрізання крон, знесення сухостійних та аварійних дерев на прибудинкових територіях, які на момент  підписання акту про списання будинку з балансу комунального підприємства "Житлово-експлуатаційне об"єднання" потребували відповідного догляду </t>
  </si>
  <si>
    <t>поточний ремонт проїжджої частини та пішохідних доріжок на прибудинкових територіях, які на момент  підписання акту про списання будинку з балансу комунального підприємства "Житлово-експлуатаційне об"єднання" не були відремонтовані</t>
  </si>
  <si>
    <t xml:space="preserve"> придбання труб непластифікованих, трійників, колін, буртових втулок - 564,651тис. грн. та  засувок, фланців, болтів, гайок, відводів сталевих та інше -35,349 тис.грн. для виконання ремонтних робіт на зовнішніх водопровідних мережах міста Южноукраїнська</t>
  </si>
  <si>
    <t>розроблення проектів із землеустрою щодо відведення земельних ділянок комунальної форми власності комунального підприємства "Житлово-експлуатаційне об"єднання" в постійне користування для будівництва та  обслуговування  багатоквартирних житлових будинків ( в тому числі для будівництва та обслуговування майданчиків для впровадження роздільного  збирання твердих побутових відходів на прибудинкових територіях міста Южноукраїнська)</t>
  </si>
  <si>
    <t xml:space="preserve">розробка  проектно-кошторисної документації на технічне переоснащення інженерних вводів з встановленням приладів обліку теплової енергії, гарячого і холодного водопостачання  загальноосвітніх шкіл та гімназії </t>
  </si>
  <si>
    <t xml:space="preserve">розробка  проектно-кошторисної документації  на технічне переоснащення інженерних вводів з встановленням приладів обліку теплової енергії, гарячого і холодного водопостачання  дошкільних навчальних закладів </t>
  </si>
  <si>
    <t>капітальний ремонт   дошкільного навчального закладу №8 по вул.Набережна Енергетиків,31 м.Южноукраїнська,Миколаївської області.Укріплення основ та фундаментів блоку Б , в тому числі, розробка проектно-кошторисної документації   та проведення  експертизи</t>
  </si>
  <si>
    <t>Поточний ремонт внутрішньоквартальних пішохілних доріжок житлових будинків</t>
  </si>
  <si>
    <t>Придбання основних засобів, інструментів (віброплита, оприскувач бензиновий)</t>
  </si>
  <si>
    <t>придбання  та встановлення обладнання для дитячих ігрових та спортивних майданчиків на прибудинкових територіях , в т.ч.  одержувач комунальне підприємство "Житлово-експлуатаційне об'єднання" в сумі 1 000,0 тис.грн.</t>
  </si>
  <si>
    <t>придбання морозильного ларю</t>
  </si>
  <si>
    <t xml:space="preserve">нове будівництво швидкомонтованої споруди спортивної зали  гімназії №1  по бульвару Курчатова,6 в м.Южноукраїнську Миколаївській обл., в тому числі корегування проектно-кошторисної документації    </t>
  </si>
  <si>
    <t>зарезервовані кошти (для придбання комп"ютерної техніки для органів  казначейської служби)</t>
  </si>
  <si>
    <t>1519180</t>
  </si>
  <si>
    <t>9180</t>
  </si>
  <si>
    <t>Цільові фонди, утворені Верховною Радою Автономної Республики Крим, органами місцевого самоврядування і місцевими органами виконавчої влади (цільовий фонд Южноукраїнської міської ради для вирішення питань розвитку  інфраструктури міста)</t>
  </si>
  <si>
    <r>
      <rPr>
        <b/>
        <sz val="12"/>
        <rFont val="Times New Roman"/>
        <family val="1"/>
        <charset val="204"/>
      </rPr>
      <t xml:space="preserve">Міська програма боротьби з онкологічними захворюваннями в м.Южноукраїнську на 2017 - 2020 роки   </t>
    </r>
    <r>
      <rPr>
        <sz val="12"/>
        <rFont val="Times New Roman"/>
        <family val="1"/>
        <charset val="204"/>
      </rPr>
      <t>в частині надання матеріальної допомоги хворим на лікування</t>
    </r>
  </si>
  <si>
    <r>
      <t xml:space="preserve">Міська програма "Фонд міської ради на виконання депутатських повноважень" на 2017 рік </t>
    </r>
    <r>
      <rPr>
        <sz val="12"/>
        <rFont val="Times New Roman"/>
        <family val="1"/>
        <charset val="204"/>
      </rPr>
      <t>в частині надання матеріальної допомоги на проведення курсу реабілітаційного лікування дитини - інваліда в Міжнародній клініці відновного лікування м.Трускавець;  матеріальна допомога на операції, реабілітації</t>
    </r>
  </si>
  <si>
    <t>придбання жилеток та метеликів для оркестрантів Южноукраїнського міського духового оркестру, придбання  МІДІ -клавіатури, виконання робіт по створенню мураларту</t>
  </si>
  <si>
    <t>заходи для участі у Чемпіонаті світу за пауерліфтінгу</t>
  </si>
  <si>
    <t xml:space="preserve"> Утримання та навчально-тренувальна робота комунальних дитячо-юнацьких спортивних шкіл</t>
  </si>
  <si>
    <t>2415031</t>
  </si>
  <si>
    <t>5031</t>
  </si>
  <si>
    <t>придбання комплекту ліцензійного кімано</t>
  </si>
  <si>
    <t>технічне обслуговування та проведення повірки аналізатора парів спирту</t>
  </si>
  <si>
    <t>організація та проведення заходів культурно - масового спрямування, придбання призів, квітів, подарунків, матеріалів для виготовлення декорацій, виготовлення символіки, атрибутики, оплата послуг артистів - 502,8 тис.грн., демонтаж та монтаж новорічної ялинки, придбання прикрас та ін. - 114,2 тис.грн. (одержувач коштів - КП СКГ)</t>
  </si>
  <si>
    <t>Придбання промислової електричної плити на 2 конфорки для приготування їжі для тварин</t>
  </si>
  <si>
    <t xml:space="preserve">Поточний ремонт металевої огорожі вздовж виробничо-технічного комплексу "Берізка"в частині електроосвітлення (одержувач комунальне підприємство "Служба комунального господарства")  </t>
  </si>
  <si>
    <t>зарезервований ресурс на стабілізацію фінансово-тарифного стану  комунального підприємства "Теплопостачання та водо-каналізаційне господарство" (резерв коштів на погашення заборгованості перед ВП "ЮУ АЕС" ДП НАЕК "Енергоатом" після зняття мораторію), (одержувач бюджетних коштів - КП ТВКГ)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</si>
  <si>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</si>
  <si>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</si>
  <si>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r>
      <t>Міська програма "Фонд міської ради на виконання депутатських повноважень" на 2017 рік</t>
    </r>
    <r>
      <rPr>
        <sz val="14"/>
        <rFont val="Times New Roman"/>
        <family val="1"/>
        <charset val="204"/>
      </rPr>
      <t xml:space="preserve">  в частині видатків на виконання депутатами міської ради доручень виборців </t>
    </r>
  </si>
  <si>
    <t>Аналіз використання бюджетних коштів по міським програмам на 2017 рік, станом на 01.09.2017 р.</t>
  </si>
  <si>
    <t>касові видатки  станом на 01.09.2017</t>
  </si>
  <si>
    <t xml:space="preserve">  поточний ремонт приміщень  гуртожитку №3 за адресою вул. Миру,9 з урахуванням сантехнічних робіт,  в тому числі по одержувачу комунальному підприємству "Житлово-експлуатаційне об"єднання" в частині ремонту електричних мереж  - 340,0 тис.грн.</t>
  </si>
  <si>
    <t xml:space="preserve">Капітальний ремонт покрівлі та приміщень для розміщення лабораторії по повірці приладів споживання води та тепла за адресою вул. Дружби Народів,23; </t>
  </si>
  <si>
    <t xml:space="preserve">капітальний ремонт (заміна вікон) ЗОШ І-ІІІ ступенів №1  та заміна вікон та встановлення перегородок в санвузлах ЗОШ І-ІІІ ступенів №3  , в т.ч.  корегування проектно-кошторисної документації та проведення експертизи; капітальний ремонт  санвузлів ЗОШ№1; розробка  проектно-кошторисної документації на технічне переоснащення інженерних вводів з встановленням приладів обліку теплової енергії, гарячого і холодного водопостачання  загальноосвітніх шкіл та гімназії </t>
  </si>
  <si>
    <t xml:space="preserve"> придбання труб непластифікованих, трійників, колін, буртових втулок - 564,651тис. грн. та кранів кульових, засувок, фланців, болтів, гайок, відводів сталевих та інше -35,349 тис.грн. для виконання ремонтних робіт на зовнішніх водопровідних мережах міста Южноукраїнська</t>
  </si>
  <si>
    <t>касові видатки  станом на 01.10.2017</t>
  </si>
  <si>
    <t xml:space="preserve"> придбання труб непластифікованих, трійників, колін, буртових втулок - 560,051тис. грн. та кранів кульових, фланців, болтів, гайок, відводів сталевих та інше -39,949 тис.грн. для виконання ремонтних робіт на зовнішніх водопровідних мережах міста Южноукраїнська</t>
  </si>
  <si>
    <t>поточний ремонт сходів на дитячому майданчику пр. Незалежності,24 - комунальне підприємство "Житлово-експлуатаційне об"еднання"</t>
  </si>
  <si>
    <t>поточний ремонт внутрішньоквартальних пішохідних доріжок житлових будинків</t>
  </si>
  <si>
    <t xml:space="preserve"> - капітальний ремонт житлового фонду в т.ч. одержувач комунальне підприємство "Житлово-експлуатаційне об"єднання" - 1251,85 тис. грн.</t>
  </si>
  <si>
    <t xml:space="preserve">капітальний ремонт (заміна вікон) ЗОШ І-ІІІ ступенів №1  та заміна вікон та встановлення перегородок в санвузлах ЗОШ І-ІІІ ступенів №3  та розробка ПКД з експертизою по заміні теплообмінників в басейні ЗОШ І-ІІІ ступенів №2 , в т.ч.  корегування проектно-кошторисної документації та проведення експертизи; капітальний ремонт  санвузлів ЗОШ№1; розробка  проектно-кошторисної документації на технічне переоснащення інженерних вводів з встановленням приладів обліку теплової енергії, гарячого і холодного водопостачання  загальноосвітніх шкіл та гімназії </t>
  </si>
  <si>
    <t>придбання жилеток та метеликів для оркестрантів Южноукраїнського міського духового оркестру, придбання  МІДІ -клавіатури, виконання робіт по створенню мураларту, придбання музичних інструментів</t>
  </si>
  <si>
    <t>2415011</t>
  </si>
  <si>
    <t>5011</t>
  </si>
  <si>
    <t>Проведення навчально - тренувальних зборів і змагань з олімпійських видів спорту</t>
  </si>
  <si>
    <t>оплата членских внесків для участі ветеранської команди "Тинь" у змаганнях Чемпіонату та Кубку України з футзалу серед ветеранів старше 45 років</t>
  </si>
  <si>
    <t xml:space="preserve">поточний ремонт покрівлі виробничої бази на вул. Набережна Енергетиків,30  (одержувач комунальне підприємство "Служба комунального господарства")  </t>
  </si>
  <si>
    <t>встановлення огорожі дитячого майданчика в районі дитячої школи містецтв</t>
  </si>
  <si>
    <t>0318370</t>
  </si>
  <si>
    <t>8370</t>
  </si>
  <si>
    <t xml:space="preserve">Субвенція з місцевого бюджету державному бюджету на виконання програм соціально - економічного та культурного розвитку регіонів  </t>
  </si>
  <si>
    <t>в частині надання матеріальної допомоги на проведення курсу реабілітаційного лікування дитини - інваліда в Міжнародній клініці відновного лікування м.Трускавець;  матеріальна допомога на операції, реабілітації</t>
  </si>
  <si>
    <t>1513104</t>
  </si>
  <si>
    <t>3104</t>
  </si>
  <si>
    <t xml:space="preserve"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</t>
  </si>
  <si>
    <t>1513100</t>
  </si>
  <si>
    <t>3100</t>
  </si>
  <si>
    <t xml:space="preserve">Надання соціальних та реабілітаційних послуг громадянам похилого віку, інвалідам, дітям-інвалідам в установах соціального обслуговування </t>
  </si>
  <si>
    <t>Додаток №3</t>
  </si>
  <si>
    <t>Виконання бюджету міста за коштами, направленими на виконання заходів міських програм, за 9 місяців 2017 року</t>
  </si>
  <si>
    <r>
      <rPr>
        <b/>
        <sz val="14"/>
        <rFont val="Times New Roman"/>
        <family val="1"/>
        <charset val="204"/>
      </rPr>
      <t>Міська програма "Наше місто" на 2015-2019 роки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частині сплати членських внесків до Асоціації міст України  та  Асоціації  енергоефективних міст України, придбання грамот, листівок, подарунків, квітів, пільг Почесним громадянам міста</t>
    </r>
  </si>
  <si>
    <r>
      <rPr>
        <b/>
        <sz val="14"/>
        <rFont val="Times New Roman"/>
        <family val="1"/>
        <charset val="204"/>
      </rPr>
      <t>Міська програма щодо організації мобілізаційної роботи в місті Южноукраїнську на 2014-2017 роки</t>
    </r>
    <r>
      <rPr>
        <sz val="12"/>
        <rFont val="Times New Roman"/>
        <family val="1"/>
        <charset val="204"/>
      </rPr>
      <t> в частині видатків на придбання ПММ для забезпечення проведення мобілізаційної підготовки , навчальних зборів</t>
    </r>
  </si>
  <si>
    <r>
      <rPr>
        <b/>
        <sz val="14"/>
        <rFont val="Times New Roman"/>
        <family val="1"/>
        <charset val="204"/>
      </rPr>
      <t>Міська програма  "Фонд міської ради на виконання депутатських повноважень" на 2017 рік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субвенція з міського бюджету державному бюджету для управління державної казначейської служби  України в місті Южноукраїнську на придбання компютерної техніки</t>
    </r>
  </si>
  <si>
    <r>
      <rPr>
        <b/>
        <sz val="14"/>
        <rFont val="Times New Roman"/>
        <family val="1"/>
        <charset val="204"/>
      </rPr>
      <t>Міська програма капітального будівництва об'єктів житлово-комунального господарства  і соціальної інфраструктури м.Южноукраїнську на 2016-2020 роки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в частині коригування  містобудівної документації - генерального плану міста Южноукраїнська </t>
    </r>
  </si>
  <si>
    <r>
      <rPr>
        <b/>
        <sz val="14"/>
        <rFont val="Times New Roman"/>
        <family val="1"/>
        <charset val="204"/>
      </rPr>
      <t>Програма розвитку освіти в м.Южноукраїнську  на 2016-2020 роки</t>
    </r>
    <r>
      <rPr>
        <b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всього в тому числі в розрізі напрямів:</t>
    </r>
  </si>
  <si>
    <t>Южноукраїнський міський Центр соціальних служб для сім'ї, дітей та молоді</t>
  </si>
  <si>
    <r>
      <rPr>
        <b/>
        <sz val="14"/>
        <rFont val="Times New Roman"/>
        <family val="1"/>
        <charset val="204"/>
      </rPr>
      <t>Міська комплексна програма  "Молоде покоління  м.Южноукраїнська" на 2016-2020 роки</t>
    </r>
    <r>
      <rPr>
        <b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разом в тому числі в розрізі напрямів:</t>
    </r>
  </si>
  <si>
    <r>
      <t xml:space="preserve">Міська рограма зайнятості  населення міста Южноукраїнська на період  до 2017 року </t>
    </r>
    <r>
      <rPr>
        <sz val="12"/>
        <rFont val="Times New Roman"/>
        <family val="1"/>
        <charset val="204"/>
      </rPr>
      <t>в частині оплачуваних громадських робіт на умовах співфінансування з  Южноукраїнським міським центром зайнятості</t>
    </r>
  </si>
  <si>
    <r>
      <t>Міська програма "Фонд міської ради на виконання депутатських повноважень" на 2017 рік</t>
    </r>
    <r>
      <rPr>
        <sz val="14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в частині видатків на виконання депутатами міської ради доручень виборців </t>
    </r>
  </si>
  <si>
    <t>проведення загальноміських заходів (День сім'ї та ін.)</t>
  </si>
  <si>
    <t>Департамент соціальних питань  та охорони здоров'я  Южноукраїнської міської ради</t>
  </si>
  <si>
    <r>
      <t>Міська комплексна програма «Охорона здоров`я в місті Южноукраїнську» на  2017-2022 роки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- всього, в тому числі:</t>
    </r>
  </si>
  <si>
    <r>
      <t>Міська комплексна програма «Охорона здоров`я в місті Южноукраїнську» на  2017-2022 роки</t>
    </r>
    <r>
      <rPr>
        <b/>
        <sz val="12"/>
        <rFont val="Times New Roman"/>
        <family val="1"/>
        <charset val="204"/>
      </rPr>
      <t xml:space="preserve"> - </t>
    </r>
    <r>
      <rPr>
        <sz val="12"/>
        <rFont val="Times New Roman"/>
        <family val="1"/>
        <charset val="204"/>
      </rPr>
      <t>всього, в тому числі:</t>
    </r>
  </si>
  <si>
    <r>
      <rPr>
        <b/>
        <sz val="14"/>
        <rFont val="Times New Roman"/>
        <family val="1"/>
        <charset val="204"/>
      </rPr>
      <t xml:space="preserve">Міська </t>
    </r>
    <r>
      <rPr>
        <sz val="14"/>
        <rFont val="Times New Roman"/>
        <family val="1"/>
        <charset val="204"/>
      </rPr>
      <t>к</t>
    </r>
    <r>
      <rPr>
        <b/>
        <sz val="14"/>
        <rFont val="Times New Roman"/>
        <family val="1"/>
        <charset val="204"/>
      </rPr>
      <t>омплексна  програма "Турбота" на 2013-2017 роки</t>
    </r>
    <r>
      <rPr>
        <sz val="12"/>
        <rFont val="Times New Roman"/>
        <family val="1"/>
        <charset val="204"/>
      </rPr>
      <t>, всього, в тому числі в розрізі напрямів та заходів:</t>
    </r>
  </si>
  <si>
    <r>
      <rPr>
        <b/>
        <sz val="14"/>
        <rFont val="Times New Roman"/>
        <family val="1"/>
        <charset val="204"/>
      </rPr>
      <t>Міська комплексна програма  "Молоде покоління  м.Южноукраїнська" на 2016-2020 роки</t>
    </r>
    <r>
      <rPr>
        <sz val="12"/>
        <rFont val="Times New Roman"/>
        <family val="1"/>
        <charset val="204"/>
      </rPr>
      <t>, разом в тому числі проведення загальноміських заходів (День сім;'ї, День матері, День захисту дітей та ін.)</t>
    </r>
  </si>
  <si>
    <r>
      <rPr>
        <b/>
        <sz val="14"/>
        <rFont val="Times New Roman"/>
        <family val="1"/>
        <charset val="204"/>
      </rPr>
      <t>Міська програма "Фонд міської ради на виконання депутатських повноважень"</t>
    </r>
    <r>
      <rPr>
        <b/>
        <sz val="12"/>
        <rFont val="Times New Roman"/>
        <family val="1"/>
        <charset val="204"/>
      </rPr>
      <t xml:space="preserve"> на 2017 рік, </t>
    </r>
    <r>
      <rPr>
        <sz val="12"/>
        <rFont val="Times New Roman"/>
        <family val="1"/>
        <charset val="204"/>
      </rPr>
      <t xml:space="preserve">всього в т.ч.: </t>
    </r>
  </si>
  <si>
    <t>придбання для комунального закладу "Територіальний центр соціального обслуговування" комплекту акустики GEMI SB- 80BT, цифрової камери NIRON Coolpix F 100, карти пам*яті - 5,63 тис.грн., апарату МІТ-С двоканального - 20,75 тис.грн., телевізору - 9,699 тис.грн., аромалампи електронної - 5,75 тис.грн., масажного крісла OSIS -56,554 тис.грн., оплати послуг з відновлення документів - 0,62804 тис.грн.</t>
  </si>
  <si>
    <r>
      <rPr>
        <b/>
        <sz val="14"/>
        <rFont val="Times New Roman"/>
        <family val="1"/>
        <charset val="204"/>
      </rPr>
      <t xml:space="preserve">Міська </t>
    </r>
    <r>
      <rPr>
        <sz val="14"/>
        <rFont val="Times New Roman"/>
        <family val="1"/>
        <charset val="204"/>
      </rPr>
      <t>к</t>
    </r>
    <r>
      <rPr>
        <b/>
        <sz val="14"/>
        <rFont val="Times New Roman"/>
        <family val="1"/>
        <charset val="204"/>
      </rPr>
      <t>омплексна програма  "Молоде покоління  м.Южноукраїнська" на 2016-2020 роки</t>
    </r>
    <r>
      <rPr>
        <b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разом в тому числі в розрізі напрямів:</t>
    </r>
  </si>
  <si>
    <r>
      <rPr>
        <b/>
        <sz val="14"/>
        <rFont val="Times New Roman"/>
        <family val="1"/>
        <charset val="204"/>
      </rPr>
      <t>Комплексна програма  розвитку культури, фізичної культури, спорту та туризму в місті Южноукраїнську на 2014-2018 роки</t>
    </r>
    <r>
      <rPr>
        <sz val="12"/>
        <rFont val="Times New Roman"/>
        <family val="1"/>
        <charset val="204"/>
      </rPr>
      <t>,  всього в тому числі:</t>
    </r>
  </si>
  <si>
    <r>
      <rPr>
        <b/>
        <sz val="14"/>
        <rFont val="Times New Roman"/>
        <family val="1"/>
        <charset val="204"/>
      </rPr>
      <t>Міська програма "Фонд міської ради на виконання депутатських повноважень" на 2017 рік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частині видатків на виконання депутатами міської ради доручень виборців</t>
    </r>
  </si>
  <si>
    <t>ліквідації негативних наслідків техногенного  впливу на насадження (видалення сухостійних дерев, кронування, обрізка сухого гілля, тощо в сумі 106,0 тис.грн.; підсів газонів з підсипанням грунту на території міста в сумі 34,0 тис.грн.)</t>
  </si>
  <si>
    <r>
      <rPr>
        <b/>
        <sz val="14"/>
        <rFont val="Times New Roman CYR"/>
        <charset val="204"/>
      </rPr>
      <t>Міська Програма охорони  довкілля та раціонального природокористування міста Южноукраїнська на 2016-2020 роки</t>
    </r>
    <r>
      <rPr>
        <sz val="14"/>
        <rFont val="Times New Roman CYR"/>
        <charset val="204"/>
      </rPr>
      <t xml:space="preserve"> в частині:</t>
    </r>
  </si>
  <si>
    <r>
      <t>М</t>
    </r>
    <r>
      <rPr>
        <b/>
        <sz val="14"/>
        <rFont val="Times New Roman CYR"/>
        <charset val="204"/>
      </rPr>
      <t>іська програма розвитку земельних відносин на  2017 - 2021  роки</t>
    </r>
    <r>
      <rPr>
        <b/>
        <sz val="12"/>
        <rFont val="Times New Roman Cyr"/>
        <charset val="204"/>
      </rPr>
      <t xml:space="preserve">, </t>
    </r>
    <r>
      <rPr>
        <sz val="12"/>
        <rFont val="Times New Roman CYR"/>
        <charset val="204"/>
      </rPr>
      <t>всього, в тому числі:</t>
    </r>
  </si>
  <si>
    <r>
      <rPr>
        <b/>
        <sz val="14"/>
        <rFont val="Times New Roman"/>
        <family val="1"/>
        <charset val="204"/>
      </rPr>
      <t>Міська програма "Фонд міської ради на виконання депутатських повноважень" на 2017 рік</t>
    </r>
    <r>
      <rPr>
        <sz val="14"/>
        <rFont val="Times New Roman"/>
        <family val="1"/>
        <charset val="204"/>
      </rPr>
      <t xml:space="preserve"> </t>
    </r>
  </si>
  <si>
    <t>Міська програма "Питна вода  міста  Южноукраїнська на 2007-2020 роки"</t>
  </si>
  <si>
    <r>
      <rPr>
        <b/>
        <sz val="14"/>
        <rFont val="Times New Roman CYR"/>
        <charset val="204"/>
      </rPr>
      <t>Міська програма підтримки об'єднання співвласників багатоквартирних будинків на  2016-2018 рр.</t>
    </r>
    <r>
      <rPr>
        <b/>
        <sz val="12"/>
        <rFont val="Times New Roman Cyr"/>
        <charset val="204"/>
      </rPr>
      <t xml:space="preserve"> , </t>
    </r>
    <r>
      <rPr>
        <sz val="12"/>
        <rFont val="Times New Roman CYR"/>
        <charset val="204"/>
      </rPr>
      <t>всього в т.ч. розрізі напрямів</t>
    </r>
  </si>
  <si>
    <t>Міська програма розвитку дорожнього руху та його безпеки в місті Южноукраїнську на 2013-2017 роки</t>
  </si>
  <si>
    <r>
      <rPr>
        <b/>
        <sz val="14"/>
        <rFont val="Times New Roman"/>
        <family val="1"/>
        <charset val="204"/>
      </rPr>
      <t xml:space="preserve">Міська </t>
    </r>
    <r>
      <rPr>
        <sz val="14"/>
        <rFont val="Times New Roman"/>
        <family val="1"/>
        <charset val="204"/>
      </rPr>
      <t>п</t>
    </r>
    <r>
      <rPr>
        <b/>
        <sz val="14"/>
        <rFont val="Times New Roman"/>
        <family val="1"/>
        <charset val="204"/>
      </rPr>
      <t>рограма  охорони тваринного світу та регулювання чисельності бродячих тварин в місті  Южноукраїнську на 2017-2021 роки</t>
    </r>
    <r>
      <rPr>
        <sz val="12"/>
        <rFont val="Times New Roman"/>
        <family val="1"/>
        <charset val="204"/>
      </rPr>
      <t>, всього в т.ч. розрізі напрямів</t>
    </r>
  </si>
  <si>
    <r>
      <rPr>
        <b/>
        <sz val="14"/>
        <rFont val="Times New Roman"/>
        <family val="1"/>
        <charset val="204"/>
      </rPr>
      <t>Міська програма поводження з твердими побутовими  відходами   на території міста Южноукраїнська на 2013 - 2020 роки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в частині </t>
    </r>
  </si>
  <si>
    <t>Міська програма приватизації об"єктів, що належать до комунальної власності територіальної громади міста Южноукраїнська на 2015-2017 роки</t>
  </si>
  <si>
    <r>
      <rPr>
        <b/>
        <sz val="14"/>
        <rFont val="Times New Roman"/>
        <family val="1"/>
        <charset val="204"/>
      </rPr>
      <t>Міська</t>
    </r>
    <r>
      <rPr>
        <sz val="14"/>
        <rFont val="Times New Roman"/>
        <family val="1"/>
        <charset val="204"/>
      </rPr>
      <t xml:space="preserve"> п</t>
    </r>
    <r>
      <rPr>
        <b/>
        <sz val="14"/>
        <rFont val="Times New Roman"/>
        <family val="1"/>
        <charset val="204"/>
      </rPr>
      <t>рограма енергозбереження в сфері житлово-комунального господарства м.Южноукраїнська на 2016-2020 роки</t>
    </r>
    <r>
      <rPr>
        <sz val="12"/>
        <rFont val="Times New Roman"/>
        <family val="1"/>
        <charset val="204"/>
      </rPr>
      <t xml:space="preserve">, всього в тому числі; розрізі напрямів: </t>
    </r>
  </si>
  <si>
    <t>Фінансова допомога КП "Критий ринок" (оплата заборгованості по земельному податку, комунальним послугам, електроенергії; розрахункові виплати при звільнені працівників КП "Критий ринок" з нарахуваннями) - одержувач КП "Критий ринок"</t>
  </si>
  <si>
    <r>
      <rPr>
        <b/>
        <sz val="14"/>
        <rFont val="Times New Roman"/>
        <family val="1"/>
        <charset val="204"/>
      </rPr>
      <t>Міська програма управління  майном комунальної форми власності  міста Южноукраїнська на 2015-2019 роки</t>
    </r>
    <r>
      <rPr>
        <b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всього, в тому числі в розрізі напрямів:</t>
    </r>
  </si>
  <si>
    <r>
      <rPr>
        <b/>
        <sz val="14"/>
        <rFont val="Times New Roman"/>
        <family val="1"/>
        <charset val="204"/>
      </rPr>
      <t>Міська програма Капітального будівництва об"єктів житлово-комунального господарства  і соціальної інфраструктури м.Южноукраїнську на 2016-2020 роки</t>
    </r>
    <r>
      <rPr>
        <b/>
        <sz val="12"/>
        <rFont val="Times New Roman"/>
        <family val="1"/>
        <charset val="204"/>
      </rPr>
      <t>,</t>
    </r>
    <r>
      <rPr>
        <sz val="12"/>
        <rFont val="Times New Roman"/>
        <family val="1"/>
        <charset val="204"/>
      </rPr>
      <t xml:space="preserve"> всього в тому числі в розрізі напрямів: </t>
    </r>
  </si>
  <si>
    <r>
      <rPr>
        <b/>
        <sz val="14"/>
        <rFont val="Times New Roman"/>
        <family val="1"/>
        <charset val="204"/>
      </rPr>
      <t>Міська програма реформування і розвитку житлово-комунального господарства міста Южноукраїнська на 2016-2020 роки,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всього в тому числі в розрізі напрямів:</t>
    </r>
  </si>
  <si>
    <t>Забезпечення діяльності місцевих центрів фізичного здоров'я населення "Спорт для всіх" та проведення фізкультурно - масових заходів серед населення регіону (програма розвитку культури, фізичної культури, спорту та туризму в м.Южноукраїнську на 2014-2018 роки )</t>
  </si>
  <si>
    <r>
      <rPr>
        <b/>
        <sz val="14"/>
        <rFont val="Times New Roman"/>
        <family val="1"/>
        <charset val="204"/>
      </rPr>
      <t>Міська Програма захисту прав дітей міста Южноукраїнська "Дитинство"на 2013-2017 роки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частині проведеня заходів, виготовлення агітаційного матеріалу</t>
    </r>
  </si>
  <si>
    <r>
      <t xml:space="preserve">Міська програма інформаційної підтримки розвитку міста та діяльності органів місцевого самоврядування на 2017-2018 роки, </t>
    </r>
    <r>
      <rPr>
        <sz val="14"/>
        <rFont val="Times New Roman"/>
        <family val="1"/>
        <charset val="204"/>
      </rPr>
      <t xml:space="preserve">всього в тому числі за напрямами: </t>
    </r>
  </si>
  <si>
    <t>Начальник фінансового управління Южноукраїнської міської ради</t>
  </si>
  <si>
    <t>Т.О. Гончарова</t>
  </si>
  <si>
    <t xml:space="preserve"> -поточний ремонт квартири комунальної  форми власності  № 74  в житловому будинку  по прт.Незалежності,5</t>
  </si>
  <si>
    <t xml:space="preserve"> - поточний ремонт квартири комунальної  форми власності  №73 в житловому будинку  по прт.Незалежності,5</t>
  </si>
  <si>
    <r>
      <rPr>
        <b/>
        <sz val="14"/>
        <rFont val="Times New Roman"/>
        <family val="1"/>
        <charset val="204"/>
      </rPr>
      <t xml:space="preserve">Соціальна програма підтримки учасииків АТО та членів їх сімей  на 2016-2020 рік </t>
    </r>
    <r>
      <rPr>
        <sz val="12"/>
        <rFont val="Times New Roman"/>
        <family val="1"/>
        <charset val="204"/>
      </rPr>
      <t xml:space="preserve">всього, в т.ч. </t>
    </r>
  </si>
  <si>
    <t>до рішення Южноукраїнської міської ради</t>
  </si>
  <si>
    <t>від______________2017_№_______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</si>
</sst>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#,##0.000"/>
    <numFmt numFmtId="167" formatCode="#,##0.0"/>
  </numFmts>
  <fonts count="3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i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family val="1"/>
      <charset val="204"/>
    </font>
    <font>
      <sz val="16"/>
      <name val="Times New Roman"/>
      <family val="1"/>
      <charset val="204"/>
    </font>
    <font>
      <sz val="10"/>
      <name val="Helv"/>
      <charset val="204"/>
    </font>
    <font>
      <sz val="11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496">
    <xf numFmtId="0" fontId="0" fillId="0" borderId="0" xfId="0"/>
    <xf numFmtId="0" fontId="1" fillId="2" borderId="0" xfId="0" applyFont="1" applyFill="1" applyBorder="1"/>
    <xf numFmtId="49" fontId="1" fillId="2" borderId="0" xfId="0" applyNumberFormat="1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justify" vertical="top" wrapText="1"/>
    </xf>
    <xf numFmtId="49" fontId="2" fillId="0" borderId="2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164" fontId="13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 shrinkToFit="1"/>
    </xf>
    <xf numFmtId="0" fontId="4" fillId="0" borderId="2" xfId="0" quotePrefix="1" applyFont="1" applyFill="1" applyBorder="1" applyAlignment="1">
      <alignment horizontal="justify" vertical="top" wrapText="1" shrinkToFit="1"/>
    </xf>
    <xf numFmtId="0" fontId="14" fillId="2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justify" vertical="top" wrapText="1" shrinkToFit="1"/>
    </xf>
    <xf numFmtId="0" fontId="4" fillId="0" borderId="2" xfId="1" applyFont="1" applyFill="1" applyBorder="1" applyAlignment="1" applyProtection="1">
      <alignment vertical="top" wrapText="1"/>
    </xf>
    <xf numFmtId="49" fontId="15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justify" vertical="top" wrapText="1" shrinkToFit="1"/>
    </xf>
    <xf numFmtId="0" fontId="14" fillId="0" borderId="2" xfId="0" quotePrefix="1" applyFont="1" applyFill="1" applyBorder="1" applyAlignment="1">
      <alignment horizontal="justify" vertical="top" wrapText="1" shrinkToFit="1"/>
    </xf>
    <xf numFmtId="164" fontId="17" fillId="2" borderId="0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/>
    </xf>
    <xf numFmtId="0" fontId="18" fillId="0" borderId="2" xfId="0" applyFont="1" applyFill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center" vertical="top" wrapText="1"/>
    </xf>
    <xf numFmtId="164" fontId="19" fillId="2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horizontal="center" vertical="top"/>
    </xf>
    <xf numFmtId="49" fontId="12" fillId="0" borderId="2" xfId="0" applyNumberFormat="1" applyFont="1" applyFill="1" applyBorder="1" applyAlignment="1">
      <alignment horizontal="center" vertical="top" wrapText="1"/>
    </xf>
    <xf numFmtId="164" fontId="12" fillId="0" borderId="2" xfId="0" applyNumberFormat="1" applyFont="1" applyFill="1" applyBorder="1" applyAlignment="1">
      <alignment horizontal="right" vertical="top" wrapText="1"/>
    </xf>
    <xf numFmtId="164" fontId="15" fillId="3" borderId="0" xfId="0" applyNumberFormat="1" applyFont="1" applyFill="1" applyBorder="1" applyAlignment="1">
      <alignment horizontal="right" vertical="top"/>
    </xf>
    <xf numFmtId="0" fontId="20" fillId="3" borderId="0" xfId="0" applyFont="1" applyFill="1" applyBorder="1"/>
    <xf numFmtId="164" fontId="15" fillId="0" borderId="0" xfId="0" applyNumberFormat="1" applyFont="1" applyFill="1" applyBorder="1" applyAlignment="1">
      <alignment horizontal="right" vertical="top"/>
    </xf>
    <xf numFmtId="0" fontId="20" fillId="0" borderId="0" xfId="0" applyFont="1" applyFill="1" applyBorder="1"/>
    <xf numFmtId="0" fontId="2" fillId="0" borderId="2" xfId="0" applyFont="1" applyFill="1" applyBorder="1" applyAlignment="1">
      <alignment horizontal="justify" vertical="top" wrapText="1"/>
    </xf>
    <xf numFmtId="0" fontId="13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justify" vertical="top" wrapText="1"/>
    </xf>
    <xf numFmtId="0" fontId="14" fillId="0" borderId="2" xfId="0" applyFont="1" applyFill="1" applyBorder="1" applyAlignment="1">
      <alignment horizontal="justify" vertical="top" wrapText="1"/>
    </xf>
    <xf numFmtId="0" fontId="4" fillId="0" borderId="2" xfId="0" quotePrefix="1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164" fontId="1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justify" vertical="top"/>
    </xf>
    <xf numFmtId="164" fontId="21" fillId="2" borderId="0" xfId="0" applyNumberFormat="1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justify" vertical="top"/>
    </xf>
    <xf numFmtId="49" fontId="14" fillId="0" borderId="2" xfId="0" applyNumberFormat="1" applyFont="1" applyFill="1" applyBorder="1" applyAlignment="1">
      <alignment horizontal="justify" vertical="top" wrapText="1"/>
    </xf>
    <xf numFmtId="49" fontId="4" fillId="0" borderId="2" xfId="0" quotePrefix="1" applyNumberFormat="1" applyFont="1" applyFill="1" applyBorder="1" applyAlignment="1">
      <alignment horizontal="justify" vertical="top" wrapText="1"/>
    </xf>
    <xf numFmtId="49" fontId="4" fillId="0" borderId="2" xfId="0" applyNumberFormat="1" applyFont="1" applyFill="1" applyBorder="1" applyAlignment="1">
      <alignment horizontal="justify" vertical="top" wrapText="1"/>
    </xf>
    <xf numFmtId="49" fontId="6" fillId="0" borderId="2" xfId="0" applyNumberFormat="1" applyFont="1" applyFill="1" applyBorder="1" applyAlignment="1">
      <alignment horizontal="justify" vertical="top" wrapText="1"/>
    </xf>
    <xf numFmtId="0" fontId="6" fillId="0" borderId="2" xfId="0" quotePrefix="1" applyFont="1" applyFill="1" applyBorder="1" applyAlignment="1">
      <alignment horizontal="justify" vertical="top" wrapText="1"/>
    </xf>
    <xf numFmtId="0" fontId="14" fillId="0" borderId="2" xfId="0" quotePrefix="1" applyFont="1" applyFill="1" applyBorder="1" applyAlignment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justify" vertical="top" wrapText="1"/>
    </xf>
    <xf numFmtId="164" fontId="11" fillId="2" borderId="0" xfId="0" applyNumberFormat="1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right" vertical="top" wrapText="1"/>
    </xf>
    <xf numFmtId="0" fontId="14" fillId="0" borderId="2" xfId="0" applyFont="1" applyFill="1" applyBorder="1" applyAlignment="1">
      <alignment horizontal="right"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14" fillId="0" borderId="2" xfId="0" applyNumberFormat="1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left" vertical="top" wrapText="1"/>
    </xf>
    <xf numFmtId="0" fontId="24" fillId="0" borderId="2" xfId="0" quotePrefix="1" applyFont="1" applyFill="1" applyBorder="1" applyAlignment="1">
      <alignment horizontal="justify" vertical="top" wrapText="1"/>
    </xf>
    <xf numFmtId="164" fontId="14" fillId="2" borderId="0" xfId="0" applyNumberFormat="1" applyFont="1" applyFill="1" applyBorder="1" applyAlignment="1">
      <alignment vertical="top" wrapText="1"/>
    </xf>
    <xf numFmtId="0" fontId="23" fillId="0" borderId="2" xfId="0" quotePrefix="1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top" wrapText="1"/>
    </xf>
    <xf numFmtId="164" fontId="18" fillId="2" borderId="0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0" fontId="26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49" fontId="18" fillId="2" borderId="0" xfId="0" applyNumberFormat="1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justify" vertical="top" wrapText="1"/>
    </xf>
    <xf numFmtId="164" fontId="6" fillId="2" borderId="0" xfId="0" applyNumberFormat="1" applyFont="1" applyFill="1" applyBorder="1" applyAlignment="1">
      <alignment horizontal="right" vertical="top" wrapText="1"/>
    </xf>
    <xf numFmtId="164" fontId="11" fillId="2" borderId="0" xfId="0" applyNumberFormat="1" applyFont="1" applyFill="1" applyBorder="1" applyAlignment="1">
      <alignment horizontal="right" vertical="top" wrapText="1"/>
    </xf>
    <xf numFmtId="0" fontId="15" fillId="2" borderId="0" xfId="0" applyFont="1" applyFill="1" applyBorder="1" applyAlignment="1">
      <alignment horizontal="center" vertical="top" wrapText="1"/>
    </xf>
    <xf numFmtId="49" fontId="15" fillId="2" borderId="0" xfId="0" applyNumberFormat="1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justify" vertical="top"/>
    </xf>
    <xf numFmtId="49" fontId="2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justify" vertical="top"/>
    </xf>
    <xf numFmtId="0" fontId="14" fillId="2" borderId="0" xfId="0" applyFont="1" applyFill="1" applyBorder="1" applyAlignment="1">
      <alignment horizontal="justify" vertical="top"/>
    </xf>
    <xf numFmtId="0" fontId="14" fillId="2" borderId="0" xfId="0" quotePrefix="1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justify" vertical="top" wrapText="1" shrinkToFit="1"/>
    </xf>
    <xf numFmtId="0" fontId="19" fillId="2" borderId="0" xfId="0" applyFont="1" applyFill="1" applyBorder="1" applyAlignment="1">
      <alignment horizontal="center" vertical="top" wrapText="1"/>
    </xf>
    <xf numFmtId="49" fontId="15" fillId="2" borderId="0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justify" wrapText="1"/>
    </xf>
    <xf numFmtId="0" fontId="14" fillId="2" borderId="0" xfId="0" applyFont="1" applyFill="1" applyBorder="1" applyAlignment="1">
      <alignment horizontal="right" vertical="top" wrapText="1"/>
    </xf>
    <xf numFmtId="0" fontId="21" fillId="2" borderId="0" xfId="0" applyFont="1" applyFill="1" applyBorder="1" applyAlignment="1">
      <alignment horizontal="center" vertical="top" wrapText="1"/>
    </xf>
    <xf numFmtId="49" fontId="21" fillId="2" borderId="0" xfId="0" applyNumberFormat="1" applyFont="1" applyFill="1" applyBorder="1" applyAlignment="1">
      <alignment horizontal="center" vertical="top" wrapText="1"/>
    </xf>
    <xf numFmtId="0" fontId="12" fillId="2" borderId="0" xfId="2" applyFont="1" applyFill="1" applyBorder="1" applyAlignment="1">
      <alignment horizontal="left" vertical="top" wrapText="1"/>
    </xf>
    <xf numFmtId="0" fontId="10" fillId="2" borderId="0" xfId="2" applyFont="1" applyFill="1" applyBorder="1" applyAlignment="1">
      <alignment horizontal="left" vertical="top" wrapText="1"/>
    </xf>
    <xf numFmtId="164" fontId="6" fillId="2" borderId="0" xfId="0" applyNumberFormat="1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center" wrapText="1"/>
    </xf>
    <xf numFmtId="0" fontId="6" fillId="2" borderId="0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justify" vertical="top"/>
    </xf>
    <xf numFmtId="0" fontId="12" fillId="2" borderId="0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justify" vertical="top" wrapText="1"/>
    </xf>
    <xf numFmtId="49" fontId="19" fillId="2" borderId="0" xfId="0" applyNumberFormat="1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right" vertical="top"/>
    </xf>
    <xf numFmtId="0" fontId="14" fillId="2" borderId="0" xfId="0" applyFont="1" applyFill="1" applyBorder="1" applyAlignment="1">
      <alignment horizontal="left" vertical="top" wrapText="1"/>
    </xf>
    <xf numFmtId="0" fontId="4" fillId="2" borderId="0" xfId="0" quotePrefix="1" applyFont="1" applyFill="1" applyBorder="1" applyAlignment="1">
      <alignment horizontal="justify" vertical="top" wrapText="1"/>
    </xf>
    <xf numFmtId="0" fontId="11" fillId="2" borderId="0" xfId="0" applyFont="1" applyFill="1" applyBorder="1" applyAlignment="1">
      <alignment vertical="top" wrapText="1"/>
    </xf>
    <xf numFmtId="166" fontId="6" fillId="2" borderId="0" xfId="0" applyNumberFormat="1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 wrapText="1"/>
    </xf>
    <xf numFmtId="165" fontId="6" fillId="2" borderId="0" xfId="0" applyNumberFormat="1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164" fontId="3" fillId="2" borderId="0" xfId="0" applyNumberFormat="1" applyFont="1" applyFill="1" applyBorder="1" applyAlignment="1">
      <alignment horizontal="right" vertical="top" wrapText="1"/>
    </xf>
    <xf numFmtId="49" fontId="6" fillId="2" borderId="0" xfId="0" applyNumberFormat="1" applyFont="1" applyFill="1" applyBorder="1" applyAlignment="1">
      <alignment horizontal="justify" vertical="top" wrapText="1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2" fontId="2" fillId="2" borderId="0" xfId="0" applyNumberFormat="1" applyFont="1" applyFill="1" applyBorder="1" applyAlignment="1" applyProtection="1">
      <protection locked="0"/>
    </xf>
    <xf numFmtId="0" fontId="1" fillId="2" borderId="2" xfId="0" applyFont="1" applyFill="1" applyBorder="1"/>
    <xf numFmtId="49" fontId="1" fillId="2" borderId="2" xfId="0" applyNumberFormat="1" applyFont="1" applyFill="1" applyBorder="1"/>
    <xf numFmtId="49" fontId="15" fillId="0" borderId="2" xfId="0" applyNumberFormat="1" applyFont="1" applyFill="1" applyBorder="1" applyAlignment="1">
      <alignment horizontal="center" vertical="top"/>
    </xf>
    <xf numFmtId="0" fontId="2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right" vertical="top"/>
    </xf>
    <xf numFmtId="49" fontId="8" fillId="3" borderId="2" xfId="0" applyNumberFormat="1" applyFont="1" applyFill="1" applyBorder="1" applyAlignment="1">
      <alignment horizontal="justify" vertical="top" wrapText="1"/>
    </xf>
    <xf numFmtId="0" fontId="9" fillId="3" borderId="2" xfId="0" applyFont="1" applyFill="1" applyBorder="1" applyAlignment="1">
      <alignment horizontal="justify" vertical="top" wrapText="1"/>
    </xf>
    <xf numFmtId="0" fontId="3" fillId="3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justify" vertical="top" wrapText="1"/>
    </xf>
    <xf numFmtId="0" fontId="8" fillId="3" borderId="2" xfId="0" applyFont="1" applyFill="1" applyBorder="1" applyAlignment="1">
      <alignment horizontal="justify" vertical="top" wrapText="1"/>
    </xf>
    <xf numFmtId="49" fontId="12" fillId="3" borderId="2" xfId="0" applyNumberFormat="1" applyFont="1" applyFill="1" applyBorder="1" applyAlignment="1">
      <alignment horizontal="center" vertical="top"/>
    </xf>
    <xf numFmtId="49" fontId="12" fillId="3" borderId="2" xfId="0" applyNumberFormat="1" applyFont="1" applyFill="1" applyBorder="1" applyAlignment="1">
      <alignment horizontal="center" vertical="top" wrapText="1"/>
    </xf>
    <xf numFmtId="164" fontId="12" fillId="3" borderId="2" xfId="0" applyNumberFormat="1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center" vertical="top" wrapText="1"/>
    </xf>
    <xf numFmtId="49" fontId="19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13" fillId="3" borderId="2" xfId="0" applyFont="1" applyFill="1" applyBorder="1" applyAlignment="1">
      <alignment horizontal="justify" vertical="top" wrapText="1"/>
    </xf>
    <xf numFmtId="0" fontId="6" fillId="3" borderId="2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15" fillId="3" borderId="2" xfId="0" applyNumberFormat="1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justify" vertical="top"/>
    </xf>
    <xf numFmtId="49" fontId="14" fillId="3" borderId="2" xfId="0" applyNumberFormat="1" applyFont="1" applyFill="1" applyBorder="1" applyAlignment="1">
      <alignment horizontal="justify" vertical="top" wrapText="1"/>
    </xf>
    <xf numFmtId="0" fontId="12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justify" vertical="top"/>
    </xf>
    <xf numFmtId="0" fontId="12" fillId="3" borderId="2" xfId="0" applyFont="1" applyFill="1" applyBorder="1" applyAlignment="1">
      <alignment horizontal="justify" vertical="top"/>
    </xf>
    <xf numFmtId="0" fontId="2" fillId="3" borderId="2" xfId="0" applyFont="1" applyFill="1" applyBorder="1" applyAlignment="1">
      <alignment horizontal="justify" vertical="top"/>
    </xf>
    <xf numFmtId="0" fontId="6" fillId="3" borderId="2" xfId="0" applyFont="1" applyFill="1" applyBorder="1" applyAlignment="1">
      <alignment horizontal="justify" vertical="top"/>
    </xf>
    <xf numFmtId="0" fontId="19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14" fillId="3" borderId="2" xfId="0" applyFont="1" applyFill="1" applyBorder="1" applyAlignment="1">
      <alignment horizontal="justify" vertical="top" wrapText="1"/>
    </xf>
    <xf numFmtId="0" fontId="25" fillId="3" borderId="2" xfId="0" quotePrefix="1" applyFont="1" applyFill="1" applyBorder="1" applyAlignment="1">
      <alignment horizontal="justify" vertical="top" wrapText="1"/>
    </xf>
    <xf numFmtId="49" fontId="18" fillId="3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 wrapText="1"/>
    </xf>
    <xf numFmtId="0" fontId="3" fillId="4" borderId="2" xfId="0" applyFont="1" applyFill="1" applyBorder="1" applyAlignment="1">
      <alignment horizontal="justify" vertical="top"/>
    </xf>
    <xf numFmtId="0" fontId="3" fillId="4" borderId="2" xfId="0" applyFont="1" applyFill="1" applyBorder="1" applyAlignment="1">
      <alignment horizontal="justify" vertical="top" wrapText="1"/>
    </xf>
    <xf numFmtId="0" fontId="15" fillId="4" borderId="2" xfId="0" applyFont="1" applyFill="1" applyBorder="1" applyAlignment="1">
      <alignment horizontal="justify" vertical="top"/>
    </xf>
    <xf numFmtId="0" fontId="15" fillId="4" borderId="2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/>
    </xf>
    <xf numFmtId="0" fontId="8" fillId="4" borderId="2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/>
    </xf>
    <xf numFmtId="0" fontId="25" fillId="4" borderId="2" xfId="0" quotePrefix="1" applyFont="1" applyFill="1" applyBorder="1" applyAlignment="1">
      <alignment horizontal="justify" vertical="top" wrapText="1"/>
    </xf>
    <xf numFmtId="0" fontId="18" fillId="4" borderId="2" xfId="0" applyFont="1" applyFill="1" applyBorder="1" applyAlignment="1">
      <alignment horizontal="justify" vertical="top"/>
    </xf>
    <xf numFmtId="164" fontId="3" fillId="4" borderId="2" xfId="0" applyNumberFormat="1" applyFont="1" applyFill="1" applyBorder="1" applyAlignment="1">
      <alignment horizontal="left" vertical="top" wrapText="1"/>
    </xf>
    <xf numFmtId="49" fontId="2" fillId="4" borderId="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vertical="top" wrapText="1"/>
    </xf>
    <xf numFmtId="49" fontId="6" fillId="4" borderId="2" xfId="0" applyNumberFormat="1" applyFont="1" applyFill="1" applyBorder="1" applyAlignment="1">
      <alignment horizontal="justify" vertical="top" wrapText="1"/>
    </xf>
    <xf numFmtId="0" fontId="4" fillId="6" borderId="2" xfId="0" applyFont="1" applyFill="1" applyBorder="1" applyAlignment="1">
      <alignment horizontal="justify" vertical="top" wrapText="1"/>
    </xf>
    <xf numFmtId="0" fontId="4" fillId="6" borderId="2" xfId="0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justify" vertical="top"/>
    </xf>
    <xf numFmtId="49" fontId="4" fillId="6" borderId="2" xfId="0" applyNumberFormat="1" applyFont="1" applyFill="1" applyBorder="1" applyAlignment="1">
      <alignment horizontal="left" vertical="top" wrapText="1"/>
    </xf>
    <xf numFmtId="0" fontId="14" fillId="6" borderId="2" xfId="0" applyFont="1" applyFill="1" applyBorder="1" applyAlignment="1">
      <alignment horizontal="justify" vertical="top" wrapText="1"/>
    </xf>
    <xf numFmtId="0" fontId="4" fillId="6" borderId="2" xfId="0" quotePrefix="1" applyFont="1" applyFill="1" applyBorder="1" applyAlignment="1">
      <alignment horizontal="justify" vertical="top" wrapText="1"/>
    </xf>
    <xf numFmtId="0" fontId="24" fillId="5" borderId="2" xfId="0" quotePrefix="1" applyFont="1" applyFill="1" applyBorder="1" applyAlignment="1">
      <alignment horizontal="justify" vertical="top" wrapText="1"/>
    </xf>
    <xf numFmtId="0" fontId="7" fillId="4" borderId="2" xfId="0" applyFont="1" applyFill="1" applyBorder="1" applyAlignment="1">
      <alignment horizontal="justify" vertical="top"/>
    </xf>
    <xf numFmtId="0" fontId="7" fillId="4" borderId="2" xfId="0" applyFont="1" applyFill="1" applyBorder="1" applyAlignment="1">
      <alignment horizontal="justify" vertical="top" wrapText="1"/>
    </xf>
    <xf numFmtId="0" fontId="3" fillId="5" borderId="2" xfId="0" applyFont="1" applyFill="1" applyBorder="1" applyAlignment="1">
      <alignment horizontal="justify" vertical="top" wrapText="1"/>
    </xf>
    <xf numFmtId="0" fontId="2" fillId="5" borderId="2" xfId="0" applyFont="1" applyFill="1" applyBorder="1" applyAlignment="1">
      <alignment horizontal="justify" vertical="top" wrapText="1" shrinkToFi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28" fillId="0" borderId="7" xfId="0" applyFont="1" applyBorder="1" applyAlignment="1">
      <alignment horizontal="justify" vertical="center" wrapText="1"/>
    </xf>
    <xf numFmtId="164" fontId="14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justify" vertical="top" wrapText="1"/>
    </xf>
    <xf numFmtId="0" fontId="14" fillId="7" borderId="2" xfId="0" applyFont="1" applyFill="1" applyBorder="1" applyAlignment="1">
      <alignment horizontal="left" vertical="top" wrapText="1"/>
    </xf>
    <xf numFmtId="49" fontId="4" fillId="6" borderId="2" xfId="0" applyNumberFormat="1" applyFont="1" applyFill="1" applyBorder="1" applyAlignment="1">
      <alignment horizontal="center" vertical="top"/>
    </xf>
    <xf numFmtId="164" fontId="14" fillId="6" borderId="0" xfId="0" applyNumberFormat="1" applyFont="1" applyFill="1" applyBorder="1" applyAlignment="1">
      <alignment vertical="top" wrapText="1"/>
    </xf>
    <xf numFmtId="0" fontId="8" fillId="6" borderId="0" xfId="0" applyFont="1" applyFill="1" applyBorder="1" applyAlignment="1">
      <alignment horizontal="justify" vertical="top" wrapText="1"/>
    </xf>
    <xf numFmtId="49" fontId="15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1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center" vertical="top" wrapText="1"/>
    </xf>
    <xf numFmtId="49" fontId="2" fillId="6" borderId="2" xfId="0" applyNumberFormat="1" applyFont="1" applyFill="1" applyBorder="1" applyAlignment="1">
      <alignment horizontal="center" vertical="top" wrapText="1"/>
    </xf>
    <xf numFmtId="164" fontId="13" fillId="6" borderId="0" xfId="0" applyNumberFormat="1" applyFont="1" applyFill="1" applyBorder="1" applyAlignment="1">
      <alignment vertical="top" wrapText="1"/>
    </xf>
    <xf numFmtId="0" fontId="6" fillId="6" borderId="0" xfId="0" applyFont="1" applyFill="1" applyBorder="1" applyAlignment="1">
      <alignment horizontal="justify" vertical="top" wrapText="1"/>
    </xf>
    <xf numFmtId="49" fontId="2" fillId="6" borderId="2" xfId="0" applyNumberFormat="1" applyFont="1" applyFill="1" applyBorder="1" applyAlignment="1">
      <alignment horizontal="center" vertical="top"/>
    </xf>
    <xf numFmtId="1" fontId="4" fillId="6" borderId="2" xfId="0" applyNumberFormat="1" applyFont="1" applyFill="1" applyBorder="1" applyAlignment="1">
      <alignment horizontal="left" vertical="top" wrapText="1"/>
    </xf>
    <xf numFmtId="0" fontId="6" fillId="6" borderId="2" xfId="0" quotePrefix="1" applyFont="1" applyFill="1" applyBorder="1" applyAlignment="1">
      <alignment horizontal="justify" vertical="top" wrapText="1"/>
    </xf>
    <xf numFmtId="0" fontId="15" fillId="6" borderId="2" xfId="0" applyFont="1" applyFill="1" applyBorder="1" applyAlignment="1">
      <alignment horizontal="center" vertical="top" wrapText="1"/>
    </xf>
    <xf numFmtId="49" fontId="15" fillId="6" borderId="2" xfId="0" applyNumberFormat="1" applyFont="1" applyFill="1" applyBorder="1" applyAlignment="1">
      <alignment horizontal="center" vertical="top" wrapText="1"/>
    </xf>
    <xf numFmtId="0" fontId="24" fillId="6" borderId="2" xfId="0" quotePrefix="1" applyFont="1" applyFill="1" applyBorder="1" applyAlignment="1">
      <alignment horizontal="justify" vertical="top" wrapText="1"/>
    </xf>
    <xf numFmtId="0" fontId="14" fillId="6" borderId="0" xfId="0" applyFont="1" applyFill="1" applyBorder="1" applyAlignment="1">
      <alignment vertical="top" wrapText="1"/>
    </xf>
    <xf numFmtId="0" fontId="4" fillId="6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justify" vertical="top" wrapText="1"/>
    </xf>
    <xf numFmtId="0" fontId="6" fillId="6" borderId="0" xfId="0" applyFont="1" applyFill="1" applyBorder="1" applyAlignment="1">
      <alignment vertical="top" wrapText="1"/>
    </xf>
    <xf numFmtId="0" fontId="23" fillId="5" borderId="2" xfId="0" quotePrefix="1" applyFont="1" applyFill="1" applyBorder="1" applyAlignment="1">
      <alignment horizontal="justify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164" fontId="6" fillId="3" borderId="2" xfId="0" applyNumberFormat="1" applyFont="1" applyFill="1" applyBorder="1" applyAlignment="1">
      <alignment horizontal="right" vertical="top" wrapText="1"/>
    </xf>
    <xf numFmtId="164" fontId="11" fillId="3" borderId="2" xfId="0" applyNumberFormat="1" applyFont="1" applyFill="1" applyBorder="1" applyAlignment="1">
      <alignment horizontal="right" vertical="top" wrapText="1"/>
    </xf>
    <xf numFmtId="164" fontId="6" fillId="0" borderId="2" xfId="0" applyNumberFormat="1" applyFont="1" applyFill="1" applyBorder="1" applyAlignment="1">
      <alignment horizontal="right" vertical="top" wrapText="1"/>
    </xf>
    <xf numFmtId="164" fontId="11" fillId="0" borderId="2" xfId="0" applyNumberFormat="1" applyFont="1" applyFill="1" applyBorder="1" applyAlignment="1">
      <alignment horizontal="right" vertical="top" wrapText="1"/>
    </xf>
    <xf numFmtId="165" fontId="3" fillId="5" borderId="2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165" fontId="6" fillId="0" borderId="2" xfId="0" applyNumberFormat="1" applyFont="1" applyFill="1" applyBorder="1" applyAlignment="1">
      <alignment horizontal="right" vertical="top" wrapText="1"/>
    </xf>
    <xf numFmtId="165" fontId="3" fillId="4" borderId="2" xfId="0" applyNumberFormat="1" applyFont="1" applyFill="1" applyBorder="1" applyAlignment="1">
      <alignment horizontal="right" vertical="top" wrapText="1"/>
    </xf>
    <xf numFmtId="165" fontId="3" fillId="3" borderId="2" xfId="0" applyNumberFormat="1" applyFont="1" applyFill="1" applyBorder="1" applyAlignment="1">
      <alignment horizontal="right" vertical="top" wrapText="1"/>
    </xf>
    <xf numFmtId="165" fontId="3" fillId="0" borderId="2" xfId="0" applyNumberFormat="1" applyFont="1" applyFill="1" applyBorder="1" applyAlignment="1">
      <alignment horizontal="right" vertical="top" wrapText="1"/>
    </xf>
    <xf numFmtId="165" fontId="6" fillId="3" borderId="2" xfId="0" applyNumberFormat="1" applyFont="1" applyFill="1" applyBorder="1" applyAlignment="1">
      <alignment horizontal="right" vertical="top" wrapText="1"/>
    </xf>
    <xf numFmtId="165" fontId="13" fillId="3" borderId="2" xfId="0" applyNumberFormat="1" applyFont="1" applyFill="1" applyBorder="1" applyAlignment="1">
      <alignment horizontal="right" vertical="top" wrapText="1"/>
    </xf>
    <xf numFmtId="165" fontId="4" fillId="3" borderId="2" xfId="0" applyNumberFormat="1" applyFont="1" applyFill="1" applyBorder="1" applyAlignment="1">
      <alignment horizontal="right" vertical="top" wrapText="1"/>
    </xf>
    <xf numFmtId="165" fontId="6" fillId="4" borderId="2" xfId="0" applyNumberFormat="1" applyFont="1" applyFill="1" applyBorder="1" applyAlignment="1">
      <alignment horizontal="right" vertical="top" wrapText="1"/>
    </xf>
    <xf numFmtId="165" fontId="4" fillId="8" borderId="2" xfId="0" applyNumberFormat="1" applyFont="1" applyFill="1" applyBorder="1" applyAlignment="1">
      <alignment horizontal="right" vertical="top" wrapText="1"/>
    </xf>
    <xf numFmtId="165" fontId="6" fillId="6" borderId="2" xfId="0" applyNumberFormat="1" applyFont="1" applyFill="1" applyBorder="1" applyAlignment="1">
      <alignment horizontal="right" vertical="top" wrapText="1"/>
    </xf>
    <xf numFmtId="165" fontId="4" fillId="6" borderId="2" xfId="0" applyNumberFormat="1" applyFont="1" applyFill="1" applyBorder="1" applyAlignment="1">
      <alignment horizontal="right" vertical="top" wrapText="1"/>
    </xf>
    <xf numFmtId="165" fontId="11" fillId="0" borderId="2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center" vertical="top"/>
    </xf>
    <xf numFmtId="165" fontId="6" fillId="5" borderId="2" xfId="0" applyNumberFormat="1" applyFont="1" applyFill="1" applyBorder="1" applyAlignment="1">
      <alignment horizontal="right" vertical="top" wrapText="1"/>
    </xf>
    <xf numFmtId="165" fontId="4" fillId="5" borderId="2" xfId="0" applyNumberFormat="1" applyFont="1" applyFill="1" applyBorder="1" applyAlignment="1">
      <alignment horizontal="right" vertical="top" wrapText="1"/>
    </xf>
    <xf numFmtId="165" fontId="7" fillId="4" borderId="2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6" fillId="6" borderId="2" xfId="0" applyNumberFormat="1" applyFont="1" applyFill="1" applyBorder="1" applyAlignment="1">
      <alignment horizontal="right" vertical="top" wrapText="1"/>
    </xf>
    <xf numFmtId="164" fontId="7" fillId="4" borderId="2" xfId="0" applyNumberFormat="1" applyFont="1" applyFill="1" applyBorder="1" applyAlignment="1">
      <alignment horizontal="right" vertical="top" wrapText="1"/>
    </xf>
    <xf numFmtId="164" fontId="4" fillId="9" borderId="2" xfId="0" applyNumberFormat="1" applyFont="1" applyFill="1" applyBorder="1" applyAlignment="1">
      <alignment horizontal="right" vertical="top" wrapText="1"/>
    </xf>
    <xf numFmtId="164" fontId="6" fillId="9" borderId="2" xfId="0" applyNumberFormat="1" applyFont="1" applyFill="1" applyBorder="1" applyAlignment="1">
      <alignment horizontal="right" vertical="top" wrapText="1"/>
    </xf>
    <xf numFmtId="165" fontId="4" fillId="9" borderId="2" xfId="0" applyNumberFormat="1" applyFont="1" applyFill="1" applyBorder="1" applyAlignment="1">
      <alignment horizontal="right" vertical="top" wrapText="1"/>
    </xf>
    <xf numFmtId="165" fontId="4" fillId="9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top"/>
    </xf>
    <xf numFmtId="0" fontId="28" fillId="0" borderId="2" xfId="0" applyFont="1" applyBorder="1" applyAlignment="1">
      <alignment horizontal="justify" vertical="center" wrapText="1"/>
    </xf>
    <xf numFmtId="0" fontId="6" fillId="6" borderId="2" xfId="0" applyFont="1" applyFill="1" applyBorder="1" applyAlignment="1">
      <alignment vertical="top" wrapText="1"/>
    </xf>
    <xf numFmtId="49" fontId="2" fillId="7" borderId="2" xfId="0" applyNumberFormat="1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justify" vertical="top"/>
    </xf>
    <xf numFmtId="49" fontId="4" fillId="7" borderId="2" xfId="0" applyNumberFormat="1" applyFont="1" applyFill="1" applyBorder="1" applyAlignment="1">
      <alignment horizontal="justify" vertical="top" wrapText="1"/>
    </xf>
    <xf numFmtId="164" fontId="4" fillId="7" borderId="2" xfId="0" applyNumberFormat="1" applyFont="1" applyFill="1" applyBorder="1" applyAlignment="1">
      <alignment horizontal="right" vertical="top" wrapText="1"/>
    </xf>
    <xf numFmtId="0" fontId="4" fillId="7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top"/>
    </xf>
    <xf numFmtId="165" fontId="29" fillId="0" borderId="2" xfId="0" applyNumberFormat="1" applyFont="1" applyFill="1" applyBorder="1" applyAlignment="1">
      <alignment horizontal="right" vertical="top" wrapText="1"/>
    </xf>
    <xf numFmtId="165" fontId="29" fillId="3" borderId="2" xfId="0" applyNumberFormat="1" applyFont="1" applyFill="1" applyBorder="1" applyAlignment="1">
      <alignment horizontal="right" vertical="top" wrapText="1"/>
    </xf>
    <xf numFmtId="165" fontId="6" fillId="9" borderId="2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center" vertical="center" wrapText="1"/>
    </xf>
    <xf numFmtId="165" fontId="4" fillId="10" borderId="2" xfId="0" applyNumberFormat="1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justify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49" fontId="15" fillId="4" borderId="2" xfId="0" applyNumberFormat="1" applyFont="1" applyFill="1" applyBorder="1" applyAlignment="1">
      <alignment horizontal="center" vertical="top" wrapText="1"/>
    </xf>
    <xf numFmtId="0" fontId="22" fillId="4" borderId="2" xfId="0" applyFont="1" applyFill="1" applyBorder="1" applyAlignment="1">
      <alignment horizontal="left" vertical="top" wrapText="1"/>
    </xf>
    <xf numFmtId="49" fontId="14" fillId="4" borderId="2" xfId="0" applyNumberFormat="1" applyFont="1" applyFill="1" applyBorder="1" applyAlignment="1">
      <alignment horizontal="justify" vertical="top" wrapText="1"/>
    </xf>
    <xf numFmtId="0" fontId="14" fillId="4" borderId="0" xfId="0" applyFont="1" applyFill="1" applyBorder="1" applyAlignment="1">
      <alignment vertical="top" wrapText="1"/>
    </xf>
    <xf numFmtId="49" fontId="12" fillId="7" borderId="2" xfId="0" applyNumberFormat="1" applyFont="1" applyFill="1" applyBorder="1" applyAlignment="1">
      <alignment horizontal="center" vertical="top"/>
    </xf>
    <xf numFmtId="49" fontId="12" fillId="7" borderId="2" xfId="0" applyNumberFormat="1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left" vertical="top" wrapText="1"/>
    </xf>
    <xf numFmtId="164" fontId="12" fillId="7" borderId="2" xfId="0" applyNumberFormat="1" applyFont="1" applyFill="1" applyBorder="1" applyAlignment="1">
      <alignment horizontal="right" vertical="top" wrapText="1"/>
    </xf>
    <xf numFmtId="164" fontId="3" fillId="7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49" fontId="15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left" wrapText="1"/>
    </xf>
    <xf numFmtId="0" fontId="8" fillId="7" borderId="0" xfId="0" applyFont="1" applyFill="1" applyBorder="1" applyAlignment="1">
      <alignment horizontal="justify" vertical="top" wrapText="1"/>
    </xf>
    <xf numFmtId="165" fontId="4" fillId="2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2" fontId="1" fillId="2" borderId="0" xfId="0" applyNumberFormat="1" applyFont="1" applyFill="1" applyBorder="1" applyAlignment="1"/>
    <xf numFmtId="2" fontId="3" fillId="2" borderId="0" xfId="0" applyNumberFormat="1" applyFont="1" applyFill="1" applyBorder="1" applyAlignment="1">
      <alignment horizontal="center"/>
    </xf>
    <xf numFmtId="2" fontId="8" fillId="3" borderId="2" xfId="0" applyNumberFormat="1" applyFont="1" applyFill="1" applyBorder="1" applyAlignment="1">
      <alignment horizontal="justify" wrapText="1"/>
    </xf>
    <xf numFmtId="2" fontId="8" fillId="0" borderId="2" xfId="0" applyNumberFormat="1" applyFont="1" applyFill="1" applyBorder="1" applyAlignment="1">
      <alignment horizontal="justify" wrapText="1"/>
    </xf>
    <xf numFmtId="2" fontId="3" fillId="0" borderId="2" xfId="0" applyNumberFormat="1" applyFont="1" applyFill="1" applyBorder="1" applyAlignment="1">
      <alignment horizontal="justify" wrapText="1"/>
    </xf>
    <xf numFmtId="2" fontId="4" fillId="0" borderId="2" xfId="0" quotePrefix="1" applyNumberFormat="1" applyFont="1" applyFill="1" applyBorder="1" applyAlignment="1">
      <alignment horizontal="justify" wrapText="1" shrinkToFit="1"/>
    </xf>
    <xf numFmtId="2" fontId="4" fillId="0" borderId="2" xfId="0" applyNumberFormat="1" applyFont="1" applyFill="1" applyBorder="1" applyAlignment="1">
      <alignment horizontal="justify" wrapText="1" shrinkToFit="1"/>
    </xf>
    <xf numFmtId="2" fontId="2" fillId="0" borderId="2" xfId="0" applyNumberFormat="1" applyFont="1" applyFill="1" applyBorder="1" applyAlignment="1">
      <alignment horizontal="justify" wrapText="1" shrinkToFit="1"/>
    </xf>
    <xf numFmtId="2" fontId="6" fillId="0" borderId="2" xfId="0" applyNumberFormat="1" applyFont="1" applyFill="1" applyBorder="1" applyAlignment="1">
      <alignment horizontal="justify" wrapText="1" shrinkToFit="1"/>
    </xf>
    <xf numFmtId="2" fontId="4" fillId="0" borderId="2" xfId="1" applyNumberFormat="1" applyFont="1" applyFill="1" applyBorder="1" applyAlignment="1" applyProtection="1">
      <alignment wrapText="1"/>
    </xf>
    <xf numFmtId="2" fontId="14" fillId="0" borderId="2" xfId="0" quotePrefix="1" applyNumberFormat="1" applyFont="1" applyFill="1" applyBorder="1" applyAlignment="1">
      <alignment horizontal="justify" wrapText="1" shrinkToFit="1"/>
    </xf>
    <xf numFmtId="2" fontId="6" fillId="0" borderId="2" xfId="0" applyNumberFormat="1" applyFont="1" applyFill="1" applyBorder="1" applyAlignment="1">
      <alignment horizontal="left" wrapText="1"/>
    </xf>
    <xf numFmtId="2" fontId="6" fillId="7" borderId="2" xfId="0" applyNumberFormat="1" applyFont="1" applyFill="1" applyBorder="1" applyAlignment="1">
      <alignment horizontal="left" wrapText="1"/>
    </xf>
    <xf numFmtId="2" fontId="3" fillId="4" borderId="2" xfId="0" applyNumberFormat="1" applyFont="1" applyFill="1" applyBorder="1" applyAlignment="1">
      <alignment horizontal="justify" wrapText="1"/>
    </xf>
    <xf numFmtId="2" fontId="12" fillId="3" borderId="2" xfId="0" applyNumberFormat="1" applyFont="1" applyFill="1" applyBorder="1" applyAlignment="1">
      <alignment horizontal="right" wrapText="1"/>
    </xf>
    <xf numFmtId="2" fontId="12" fillId="0" borderId="2" xfId="0" applyNumberFormat="1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 horizontal="left" wrapText="1"/>
    </xf>
    <xf numFmtId="2" fontId="6" fillId="0" borderId="2" xfId="0" applyNumberFormat="1" applyFont="1" applyFill="1" applyBorder="1" applyAlignment="1">
      <alignment horizontal="justify" wrapText="1"/>
    </xf>
    <xf numFmtId="2" fontId="4" fillId="0" borderId="2" xfId="0" applyNumberFormat="1" applyFont="1" applyFill="1" applyBorder="1" applyAlignment="1">
      <alignment horizontal="justify" wrapText="1"/>
    </xf>
    <xf numFmtId="2" fontId="4" fillId="0" borderId="2" xfId="0" quotePrefix="1" applyNumberFormat="1" applyFont="1" applyFill="1" applyBorder="1" applyAlignment="1">
      <alignment horizontal="justify" wrapText="1"/>
    </xf>
    <xf numFmtId="2" fontId="3" fillId="7" borderId="2" xfId="0" applyNumberFormat="1" applyFont="1" applyFill="1" applyBorder="1" applyAlignment="1">
      <alignment horizontal="left" wrapText="1"/>
    </xf>
    <xf numFmtId="2" fontId="6" fillId="3" borderId="2" xfId="0" applyNumberFormat="1" applyFont="1" applyFill="1" applyBorder="1" applyAlignment="1">
      <alignment horizontal="justify" wrapText="1"/>
    </xf>
    <xf numFmtId="2" fontId="15" fillId="4" borderId="2" xfId="0" applyNumberFormat="1" applyFont="1" applyFill="1" applyBorder="1" applyAlignment="1">
      <alignment horizontal="justify" wrapText="1"/>
    </xf>
    <xf numFmtId="2" fontId="14" fillId="3" borderId="2" xfId="0" applyNumberFormat="1" applyFont="1" applyFill="1" applyBorder="1" applyAlignment="1">
      <alignment horizontal="justify" wrapText="1"/>
    </xf>
    <xf numFmtId="2" fontId="14" fillId="4" borderId="2" xfId="0" applyNumberFormat="1" applyFont="1" applyFill="1" applyBorder="1" applyAlignment="1">
      <alignment horizontal="justify" wrapText="1"/>
    </xf>
    <xf numFmtId="2" fontId="6" fillId="0" borderId="2" xfId="0" quotePrefix="1" applyNumberFormat="1" applyFont="1" applyFill="1" applyBorder="1" applyAlignment="1">
      <alignment horizontal="justify" wrapText="1"/>
    </xf>
    <xf numFmtId="2" fontId="23" fillId="0" borderId="2" xfId="0" quotePrefix="1" applyNumberFormat="1" applyFont="1" applyFill="1" applyBorder="1" applyAlignment="1">
      <alignment horizontal="justify" wrapText="1"/>
    </xf>
    <xf numFmtId="2" fontId="4" fillId="7" borderId="2" xfId="0" applyNumberFormat="1" applyFont="1" applyFill="1" applyBorder="1" applyAlignment="1">
      <alignment horizontal="justify" wrapText="1"/>
    </xf>
    <xf numFmtId="2" fontId="8" fillId="4" borderId="2" xfId="0" applyNumberFormat="1" applyFont="1" applyFill="1" applyBorder="1" applyAlignment="1">
      <alignment horizontal="justify" wrapText="1"/>
    </xf>
    <xf numFmtId="2" fontId="4" fillId="0" borderId="2" xfId="0" applyNumberFormat="1" applyFont="1" applyFill="1" applyBorder="1" applyAlignment="1">
      <alignment horizontal="left" wrapText="1"/>
    </xf>
    <xf numFmtId="2" fontId="14" fillId="0" borderId="2" xfId="0" quotePrefix="1" applyNumberFormat="1" applyFont="1" applyFill="1" applyBorder="1" applyAlignment="1">
      <alignment horizontal="justify" wrapText="1"/>
    </xf>
    <xf numFmtId="2" fontId="4" fillId="0" borderId="2" xfId="0" applyNumberFormat="1" applyFont="1" applyFill="1" applyBorder="1" applyAlignment="1">
      <alignment wrapText="1"/>
    </xf>
    <xf numFmtId="2" fontId="24" fillId="0" borderId="2" xfId="0" quotePrefix="1" applyNumberFormat="1" applyFont="1" applyFill="1" applyBorder="1" applyAlignment="1">
      <alignment horizontal="justify" wrapText="1"/>
    </xf>
    <xf numFmtId="2" fontId="6" fillId="6" borderId="2" xfId="0" applyNumberFormat="1" applyFont="1" applyFill="1" applyBorder="1" applyAlignment="1">
      <alignment wrapText="1"/>
    </xf>
    <xf numFmtId="2" fontId="25" fillId="4" borderId="2" xfId="0" quotePrefix="1" applyNumberFormat="1" applyFont="1" applyFill="1" applyBorder="1" applyAlignment="1">
      <alignment horizontal="justify" wrapText="1"/>
    </xf>
    <xf numFmtId="2" fontId="25" fillId="3" borderId="2" xfId="0" quotePrefix="1" applyNumberFormat="1" applyFont="1" applyFill="1" applyBorder="1" applyAlignment="1">
      <alignment horizontal="justify" wrapText="1"/>
    </xf>
    <xf numFmtId="2" fontId="3" fillId="5" borderId="2" xfId="0" applyNumberFormat="1" applyFont="1" applyFill="1" applyBorder="1" applyAlignment="1">
      <alignment horizontal="justify" wrapText="1"/>
    </xf>
    <xf numFmtId="2" fontId="7" fillId="4" borderId="2" xfId="0" applyNumberFormat="1" applyFont="1" applyFill="1" applyBorder="1" applyAlignment="1">
      <alignment horizontal="justify" wrapText="1"/>
    </xf>
    <xf numFmtId="0" fontId="1" fillId="2" borderId="0" xfId="0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164" fontId="6" fillId="3" borderId="2" xfId="0" applyNumberFormat="1" applyFont="1" applyFill="1" applyBorder="1" applyAlignment="1">
      <alignment horizontal="right" wrapText="1"/>
    </xf>
    <xf numFmtId="164" fontId="11" fillId="3" borderId="2" xfId="0" applyNumberFormat="1" applyFont="1" applyFill="1" applyBorder="1" applyAlignment="1">
      <alignment horizontal="right" wrapText="1"/>
    </xf>
    <xf numFmtId="164" fontId="6" fillId="0" borderId="2" xfId="0" applyNumberFormat="1" applyFont="1" applyFill="1" applyBorder="1" applyAlignment="1">
      <alignment horizontal="right" wrapText="1"/>
    </xf>
    <xf numFmtId="164" fontId="11" fillId="0" borderId="2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 wrapText="1"/>
    </xf>
    <xf numFmtId="165" fontId="6" fillId="0" borderId="2" xfId="0" applyNumberFormat="1" applyFont="1" applyFill="1" applyBorder="1" applyAlignment="1">
      <alignment horizontal="right" wrapText="1"/>
    </xf>
    <xf numFmtId="165" fontId="3" fillId="4" borderId="2" xfId="0" applyNumberFormat="1" applyFont="1" applyFill="1" applyBorder="1" applyAlignment="1">
      <alignment horizontal="right" wrapText="1"/>
    </xf>
    <xf numFmtId="165" fontId="3" fillId="5" borderId="2" xfId="0" applyNumberFormat="1" applyFont="1" applyFill="1" applyBorder="1" applyAlignment="1">
      <alignment horizontal="right" wrapText="1"/>
    </xf>
    <xf numFmtId="165" fontId="3" fillId="3" borderId="2" xfId="0" applyNumberFormat="1" applyFont="1" applyFill="1" applyBorder="1" applyAlignment="1">
      <alignment horizontal="right" wrapText="1"/>
    </xf>
    <xf numFmtId="165" fontId="6" fillId="3" borderId="2" xfId="0" applyNumberFormat="1" applyFont="1" applyFill="1" applyBorder="1" applyAlignment="1">
      <alignment horizontal="right" wrapText="1"/>
    </xf>
    <xf numFmtId="165" fontId="13" fillId="3" borderId="2" xfId="0" applyNumberFormat="1" applyFont="1" applyFill="1" applyBorder="1" applyAlignment="1">
      <alignment horizontal="right" wrapText="1"/>
    </xf>
    <xf numFmtId="165" fontId="4" fillId="3" borderId="2" xfId="0" applyNumberFormat="1" applyFont="1" applyFill="1" applyBorder="1" applyAlignment="1">
      <alignment horizontal="right" wrapText="1"/>
    </xf>
    <xf numFmtId="165" fontId="4" fillId="7" borderId="2" xfId="0" applyNumberFormat="1" applyFont="1" applyFill="1" applyBorder="1" applyAlignment="1">
      <alignment horizontal="right" wrapText="1"/>
    </xf>
    <xf numFmtId="164" fontId="17" fillId="7" borderId="2" xfId="0" applyNumberFormat="1" applyFont="1" applyFill="1" applyBorder="1" applyAlignment="1">
      <alignment wrapText="1"/>
    </xf>
    <xf numFmtId="165" fontId="11" fillId="0" borderId="2" xfId="0" applyNumberFormat="1" applyFont="1" applyFill="1" applyBorder="1" applyAlignment="1">
      <alignment horizontal="right" wrapText="1"/>
    </xf>
    <xf numFmtId="164" fontId="4" fillId="7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5" fontId="4" fillId="9" borderId="2" xfId="0" applyNumberFormat="1" applyFont="1" applyFill="1" applyBorder="1" applyAlignment="1">
      <alignment horizontal="right" wrapText="1"/>
    </xf>
    <xf numFmtId="164" fontId="4" fillId="9" borderId="2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justify" wrapText="1" shrinkToFit="1"/>
    </xf>
    <xf numFmtId="0" fontId="14" fillId="0" borderId="2" xfId="0" applyFont="1" applyFill="1" applyBorder="1" applyAlignment="1">
      <alignment horizontal="justify" wrapText="1" shrinkToFit="1"/>
    </xf>
    <xf numFmtId="0" fontId="4" fillId="7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justify"/>
    </xf>
    <xf numFmtId="0" fontId="2" fillId="0" borderId="2" xfId="0" applyFont="1" applyFill="1" applyBorder="1" applyAlignment="1">
      <alignment wrapText="1"/>
    </xf>
    <xf numFmtId="0" fontId="4" fillId="0" borderId="2" xfId="0" quotePrefix="1" applyFont="1" applyFill="1" applyBorder="1" applyAlignment="1">
      <alignment horizontal="justify" wrapText="1"/>
    </xf>
    <xf numFmtId="0" fontId="2" fillId="0" borderId="2" xfId="0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justify" wrapText="1"/>
    </xf>
    <xf numFmtId="0" fontId="14" fillId="0" borderId="2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/>
    </xf>
    <xf numFmtId="0" fontId="3" fillId="3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justify"/>
    </xf>
    <xf numFmtId="0" fontId="14" fillId="0" borderId="2" xfId="0" applyFont="1" applyFill="1" applyBorder="1" applyAlignment="1">
      <alignment horizontal="justify"/>
    </xf>
    <xf numFmtId="0" fontId="2" fillId="7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justify"/>
    </xf>
    <xf numFmtId="0" fontId="2" fillId="3" borderId="2" xfId="0" applyFont="1" applyFill="1" applyBorder="1" applyAlignment="1">
      <alignment horizontal="justify"/>
    </xf>
    <xf numFmtId="0" fontId="2" fillId="0" borderId="2" xfId="0" applyFont="1" applyFill="1" applyBorder="1" applyAlignment="1">
      <alignment horizontal="justify"/>
    </xf>
    <xf numFmtId="0" fontId="14" fillId="0" borderId="2" xfId="0" applyFont="1" applyFill="1" applyBorder="1" applyAlignment="1">
      <alignment horizontal="right"/>
    </xf>
    <xf numFmtId="0" fontId="4" fillId="7" borderId="2" xfId="0" applyFont="1" applyFill="1" applyBorder="1" applyAlignment="1">
      <alignment horizontal="justify" wrapText="1"/>
    </xf>
    <xf numFmtId="0" fontId="4" fillId="7" borderId="0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justify" wrapText="1"/>
    </xf>
    <xf numFmtId="0" fontId="3" fillId="4" borderId="2" xfId="0" applyFont="1" applyFill="1" applyBorder="1" applyAlignment="1">
      <alignment horizontal="justify" wrapText="1"/>
    </xf>
    <xf numFmtId="0" fontId="28" fillId="0" borderId="2" xfId="0" applyFont="1" applyBorder="1" applyAlignment="1">
      <alignment horizontal="justify" wrapText="1"/>
    </xf>
    <xf numFmtId="0" fontId="3" fillId="5" borderId="2" xfId="0" applyFont="1" applyFill="1" applyBorder="1" applyAlignment="1">
      <alignment horizontal="justify" wrapText="1"/>
    </xf>
    <xf numFmtId="0" fontId="7" fillId="4" borderId="2" xfId="0" applyFont="1" applyFill="1" applyBorder="1" applyAlignment="1">
      <alignment horizontal="justify"/>
    </xf>
    <xf numFmtId="49" fontId="1" fillId="2" borderId="0" xfId="0" applyNumberFormat="1" applyFont="1" applyFill="1" applyBorder="1" applyAlignment="1"/>
    <xf numFmtId="0" fontId="2" fillId="2" borderId="2" xfId="0" applyFont="1" applyFill="1" applyBorder="1" applyAlignment="1">
      <alignment horizontal="center" wrapText="1"/>
    </xf>
    <xf numFmtId="49" fontId="8" fillId="3" borderId="2" xfId="0" applyNumberFormat="1" applyFont="1" applyFill="1" applyBorder="1" applyAlignment="1">
      <alignment horizontal="justify" wrapText="1"/>
    </xf>
    <xf numFmtId="0" fontId="9" fillId="3" borderId="2" xfId="0" applyFont="1" applyFill="1" applyBorder="1" applyAlignment="1">
      <alignment horizontal="justify" wrapText="1"/>
    </xf>
    <xf numFmtId="49" fontId="8" fillId="0" borderId="2" xfId="0" applyNumberFormat="1" applyFont="1" applyFill="1" applyBorder="1" applyAlignment="1">
      <alignment horizontal="justify" wrapText="1"/>
    </xf>
    <xf numFmtId="0" fontId="9" fillId="0" borderId="2" xfId="0" applyFont="1" applyFill="1" applyBorder="1" applyAlignment="1">
      <alignment horizontal="justify" wrapText="1"/>
    </xf>
    <xf numFmtId="49" fontId="15" fillId="0" borderId="2" xfId="0" applyNumberFormat="1" applyFont="1" applyFill="1" applyBorder="1" applyAlignment="1">
      <alignment horizontal="center" wrapText="1"/>
    </xf>
    <xf numFmtId="49" fontId="2" fillId="7" borderId="2" xfId="0" applyNumberFormat="1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49" fontId="18" fillId="0" borderId="2" xfId="0" applyNumberFormat="1" applyFont="1" applyFill="1" applyBorder="1" applyAlignment="1">
      <alignment horizontal="center" wrapText="1"/>
    </xf>
    <xf numFmtId="49" fontId="12" fillId="3" borderId="2" xfId="0" applyNumberFormat="1" applyFont="1" applyFill="1" applyBorder="1" applyAlignment="1">
      <alignment horizontal="center"/>
    </xf>
    <xf numFmtId="49" fontId="12" fillId="3" borderId="2" xfId="0" applyNumberFormat="1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12" fillId="7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49" fontId="19" fillId="3" borderId="2" xfId="0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 wrapText="1"/>
    </xf>
    <xf numFmtId="49" fontId="15" fillId="3" borderId="2" xfId="0" applyNumberFormat="1" applyFont="1" applyFill="1" applyBorder="1" applyAlignment="1">
      <alignment horizontal="center" wrapText="1"/>
    </xf>
    <xf numFmtId="49" fontId="15" fillId="7" borderId="2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49" fontId="15" fillId="6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49" fontId="18" fillId="3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2" fontId="14" fillId="0" borderId="2" xfId="0" applyNumberFormat="1" applyFont="1" applyFill="1" applyBorder="1" applyAlignment="1">
      <alignment horizontal="justify" wrapText="1"/>
    </xf>
    <xf numFmtId="49" fontId="3" fillId="7" borderId="2" xfId="0" applyNumberFormat="1" applyFont="1" applyFill="1" applyBorder="1" applyAlignment="1">
      <alignment horizontal="justify" vertical="top" wrapText="1"/>
    </xf>
    <xf numFmtId="1" fontId="4" fillId="0" borderId="2" xfId="0" applyNumberFormat="1" applyFont="1" applyFill="1" applyBorder="1" applyAlignment="1">
      <alignment wrapText="1"/>
    </xf>
    <xf numFmtId="2" fontId="30" fillId="0" borderId="2" xfId="0" quotePrefix="1" applyNumberFormat="1" applyFont="1" applyFill="1" applyBorder="1" applyAlignment="1">
      <alignment horizontal="justify" wrapText="1"/>
    </xf>
    <xf numFmtId="2" fontId="25" fillId="0" borderId="2" xfId="0" quotePrefix="1" applyNumberFormat="1" applyFont="1" applyFill="1" applyBorder="1" applyAlignment="1">
      <alignment horizontal="justify" wrapText="1"/>
    </xf>
    <xf numFmtId="2" fontId="2" fillId="0" borderId="2" xfId="0" applyNumberFormat="1" applyFont="1" applyFill="1" applyBorder="1" applyAlignment="1">
      <alignment horizontal="justify" wrapText="1"/>
    </xf>
    <xf numFmtId="2" fontId="3" fillId="0" borderId="2" xfId="0" quotePrefix="1" applyNumberFormat="1" applyFont="1" applyFill="1" applyBorder="1" applyAlignment="1">
      <alignment horizontal="justify" wrapText="1"/>
    </xf>
    <xf numFmtId="49" fontId="4" fillId="0" borderId="2" xfId="0" applyNumberFormat="1" applyFont="1" applyFill="1" applyBorder="1" applyAlignment="1">
      <alignment horizontal="left" wrapText="1"/>
    </xf>
    <xf numFmtId="0" fontId="32" fillId="0" borderId="2" xfId="0" applyFont="1" applyFill="1" applyBorder="1" applyAlignment="1">
      <alignment horizontal="left" wrapText="1"/>
    </xf>
    <xf numFmtId="49" fontId="19" fillId="0" borderId="2" xfId="0" applyNumberFormat="1" applyFont="1" applyFill="1" applyBorder="1" applyAlignment="1">
      <alignment horizontal="center" wrapText="1"/>
    </xf>
    <xf numFmtId="165" fontId="13" fillId="0" borderId="2" xfId="0" applyNumberFormat="1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center" wrapText="1"/>
    </xf>
    <xf numFmtId="167" fontId="7" fillId="4" borderId="2" xfId="0" applyNumberFormat="1" applyFont="1" applyFill="1" applyBorder="1" applyAlignment="1">
      <alignment horizontal="right" wrapText="1"/>
    </xf>
    <xf numFmtId="0" fontId="33" fillId="2" borderId="0" xfId="0" applyFont="1" applyFill="1" applyBorder="1" applyAlignment="1"/>
    <xf numFmtId="49" fontId="33" fillId="2" borderId="0" xfId="0" applyNumberFormat="1" applyFont="1" applyFill="1" applyBorder="1" applyAlignment="1"/>
    <xf numFmtId="2" fontId="33" fillId="2" borderId="0" xfId="0" applyNumberFormat="1" applyFont="1" applyFill="1" applyBorder="1" applyAlignment="1"/>
    <xf numFmtId="0" fontId="33" fillId="2" borderId="0" xfId="0" applyFont="1" applyFill="1" applyBorder="1"/>
    <xf numFmtId="167" fontId="6" fillId="0" borderId="2" xfId="0" applyNumberFormat="1" applyFont="1" applyFill="1" applyBorder="1" applyAlignment="1">
      <alignment horizontal="right" wrapText="1"/>
    </xf>
    <xf numFmtId="167" fontId="4" fillId="0" borderId="2" xfId="0" applyNumberFormat="1" applyFont="1" applyFill="1" applyBorder="1" applyAlignment="1">
      <alignment horizontal="right" wrapText="1"/>
    </xf>
    <xf numFmtId="4" fontId="4" fillId="0" borderId="2" xfId="0" applyNumberFormat="1" applyFont="1" applyFill="1" applyBorder="1" applyAlignment="1">
      <alignment horizontal="right" wrapText="1"/>
    </xf>
    <xf numFmtId="4" fontId="29" fillId="0" borderId="2" xfId="0" applyNumberFormat="1" applyFont="1" applyFill="1" applyBorder="1" applyAlignment="1">
      <alignment horizontal="right" wrapText="1"/>
    </xf>
    <xf numFmtId="167" fontId="4" fillId="0" borderId="2" xfId="0" applyNumberFormat="1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/>
    <xf numFmtId="4" fontId="4" fillId="6" borderId="2" xfId="0" applyNumberFormat="1" applyFont="1" applyFill="1" applyBorder="1" applyAlignment="1">
      <alignment wrapText="1"/>
    </xf>
    <xf numFmtId="167" fontId="3" fillId="4" borderId="2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33" fillId="2" borderId="0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26" fillId="2" borderId="0" xfId="0" applyFont="1" applyFill="1" applyBorder="1" applyAlignment="1"/>
  </cellXfs>
  <cellStyles count="3">
    <cellStyle name="Гиперссылка" xfId="1" builtinId="8"/>
    <cellStyle name="Обычный" xfId="0" builtinId="0"/>
    <cellStyle name="Стиль 1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kts.yu.mk.ua/showdoc/4829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kts.yu.mk.ua/showdoc/4829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kts.yu.mk.ua/showdoc/4829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akts.yu.mk.ua/showdoc/4829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akts.yu.mk.ua/showdoc/4829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akts.yu.mk.ua/showdoc/4829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akts.yu.mk.ua/showdoc/482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370"/>
  <sheetViews>
    <sheetView view="pageBreakPreview" zoomScale="60" zoomScaleNormal="62" workbookViewId="0">
      <pane ySplit="8" topLeftCell="A181" activePane="bottomLeft" state="frozen"/>
      <selection activeCell="B1" sqref="B1"/>
      <selection pane="bottomLeft" activeCell="N8" sqref="N8"/>
    </sheetView>
  </sheetViews>
  <sheetFormatPr defaultColWidth="8.7109375" defaultRowHeight="12.75" x14ac:dyDescent="0.2"/>
  <cols>
    <col min="1" max="1" width="13" style="152" customWidth="1"/>
    <col min="2" max="2" width="12.140625" style="153" customWidth="1"/>
    <col min="3" max="3" width="11.28515625" style="153" customWidth="1"/>
    <col min="4" max="4" width="37.140625" style="152" customWidth="1"/>
    <col min="5" max="5" width="2.140625" style="152" hidden="1" customWidth="1"/>
    <col min="6" max="6" width="58.7109375" style="152" customWidth="1"/>
    <col min="7" max="14" width="16.7109375" style="152" customWidth="1"/>
    <col min="15" max="15" width="53.28515625" style="1" customWidth="1"/>
    <col min="16" max="16" width="15.42578125" style="1" customWidth="1"/>
    <col min="17" max="261" width="8.7109375" style="1"/>
    <col min="262" max="262" width="13" style="1" customWidth="1"/>
    <col min="263" max="263" width="12.140625" style="1" customWidth="1"/>
    <col min="264" max="264" width="11.28515625" style="1" customWidth="1"/>
    <col min="265" max="265" width="37.140625" style="1" customWidth="1"/>
    <col min="266" max="266" width="0" style="1" hidden="1" customWidth="1"/>
    <col min="267" max="267" width="58.7109375" style="1" customWidth="1"/>
    <col min="268" max="270" width="16.7109375" style="1" customWidth="1"/>
    <col min="271" max="271" width="53.28515625" style="1" customWidth="1"/>
    <col min="272" max="272" width="15.42578125" style="1" customWidth="1"/>
    <col min="273" max="517" width="8.7109375" style="1"/>
    <col min="518" max="518" width="13" style="1" customWidth="1"/>
    <col min="519" max="519" width="12.140625" style="1" customWidth="1"/>
    <col min="520" max="520" width="11.28515625" style="1" customWidth="1"/>
    <col min="521" max="521" width="37.140625" style="1" customWidth="1"/>
    <col min="522" max="522" width="0" style="1" hidden="1" customWidth="1"/>
    <col min="523" max="523" width="58.7109375" style="1" customWidth="1"/>
    <col min="524" max="526" width="16.7109375" style="1" customWidth="1"/>
    <col min="527" max="527" width="53.28515625" style="1" customWidth="1"/>
    <col min="528" max="528" width="15.42578125" style="1" customWidth="1"/>
    <col min="529" max="773" width="8.7109375" style="1"/>
    <col min="774" max="774" width="13" style="1" customWidth="1"/>
    <col min="775" max="775" width="12.140625" style="1" customWidth="1"/>
    <col min="776" max="776" width="11.28515625" style="1" customWidth="1"/>
    <col min="777" max="777" width="37.140625" style="1" customWidth="1"/>
    <col min="778" max="778" width="0" style="1" hidden="1" customWidth="1"/>
    <col min="779" max="779" width="58.7109375" style="1" customWidth="1"/>
    <col min="780" max="782" width="16.7109375" style="1" customWidth="1"/>
    <col min="783" max="783" width="53.28515625" style="1" customWidth="1"/>
    <col min="784" max="784" width="15.42578125" style="1" customWidth="1"/>
    <col min="785" max="1029" width="8.7109375" style="1"/>
    <col min="1030" max="1030" width="13" style="1" customWidth="1"/>
    <col min="1031" max="1031" width="12.140625" style="1" customWidth="1"/>
    <col min="1032" max="1032" width="11.28515625" style="1" customWidth="1"/>
    <col min="1033" max="1033" width="37.140625" style="1" customWidth="1"/>
    <col min="1034" max="1034" width="0" style="1" hidden="1" customWidth="1"/>
    <col min="1035" max="1035" width="58.7109375" style="1" customWidth="1"/>
    <col min="1036" max="1038" width="16.7109375" style="1" customWidth="1"/>
    <col min="1039" max="1039" width="53.28515625" style="1" customWidth="1"/>
    <col min="1040" max="1040" width="15.42578125" style="1" customWidth="1"/>
    <col min="1041" max="1285" width="8.7109375" style="1"/>
    <col min="1286" max="1286" width="13" style="1" customWidth="1"/>
    <col min="1287" max="1287" width="12.140625" style="1" customWidth="1"/>
    <col min="1288" max="1288" width="11.28515625" style="1" customWidth="1"/>
    <col min="1289" max="1289" width="37.140625" style="1" customWidth="1"/>
    <col min="1290" max="1290" width="0" style="1" hidden="1" customWidth="1"/>
    <col min="1291" max="1291" width="58.7109375" style="1" customWidth="1"/>
    <col min="1292" max="1294" width="16.7109375" style="1" customWidth="1"/>
    <col min="1295" max="1295" width="53.28515625" style="1" customWidth="1"/>
    <col min="1296" max="1296" width="15.42578125" style="1" customWidth="1"/>
    <col min="1297" max="1541" width="8.7109375" style="1"/>
    <col min="1542" max="1542" width="13" style="1" customWidth="1"/>
    <col min="1543" max="1543" width="12.140625" style="1" customWidth="1"/>
    <col min="1544" max="1544" width="11.28515625" style="1" customWidth="1"/>
    <col min="1545" max="1545" width="37.140625" style="1" customWidth="1"/>
    <col min="1546" max="1546" width="0" style="1" hidden="1" customWidth="1"/>
    <col min="1547" max="1547" width="58.7109375" style="1" customWidth="1"/>
    <col min="1548" max="1550" width="16.7109375" style="1" customWidth="1"/>
    <col min="1551" max="1551" width="53.28515625" style="1" customWidth="1"/>
    <col min="1552" max="1552" width="15.42578125" style="1" customWidth="1"/>
    <col min="1553" max="1797" width="8.7109375" style="1"/>
    <col min="1798" max="1798" width="13" style="1" customWidth="1"/>
    <col min="1799" max="1799" width="12.140625" style="1" customWidth="1"/>
    <col min="1800" max="1800" width="11.28515625" style="1" customWidth="1"/>
    <col min="1801" max="1801" width="37.140625" style="1" customWidth="1"/>
    <col min="1802" max="1802" width="0" style="1" hidden="1" customWidth="1"/>
    <col min="1803" max="1803" width="58.7109375" style="1" customWidth="1"/>
    <col min="1804" max="1806" width="16.7109375" style="1" customWidth="1"/>
    <col min="1807" max="1807" width="53.28515625" style="1" customWidth="1"/>
    <col min="1808" max="1808" width="15.42578125" style="1" customWidth="1"/>
    <col min="1809" max="2053" width="8.7109375" style="1"/>
    <col min="2054" max="2054" width="13" style="1" customWidth="1"/>
    <col min="2055" max="2055" width="12.140625" style="1" customWidth="1"/>
    <col min="2056" max="2056" width="11.28515625" style="1" customWidth="1"/>
    <col min="2057" max="2057" width="37.140625" style="1" customWidth="1"/>
    <col min="2058" max="2058" width="0" style="1" hidden="1" customWidth="1"/>
    <col min="2059" max="2059" width="58.7109375" style="1" customWidth="1"/>
    <col min="2060" max="2062" width="16.7109375" style="1" customWidth="1"/>
    <col min="2063" max="2063" width="53.28515625" style="1" customWidth="1"/>
    <col min="2064" max="2064" width="15.42578125" style="1" customWidth="1"/>
    <col min="2065" max="2309" width="8.7109375" style="1"/>
    <col min="2310" max="2310" width="13" style="1" customWidth="1"/>
    <col min="2311" max="2311" width="12.140625" style="1" customWidth="1"/>
    <col min="2312" max="2312" width="11.28515625" style="1" customWidth="1"/>
    <col min="2313" max="2313" width="37.140625" style="1" customWidth="1"/>
    <col min="2314" max="2314" width="0" style="1" hidden="1" customWidth="1"/>
    <col min="2315" max="2315" width="58.7109375" style="1" customWidth="1"/>
    <col min="2316" max="2318" width="16.7109375" style="1" customWidth="1"/>
    <col min="2319" max="2319" width="53.28515625" style="1" customWidth="1"/>
    <col min="2320" max="2320" width="15.42578125" style="1" customWidth="1"/>
    <col min="2321" max="2565" width="8.7109375" style="1"/>
    <col min="2566" max="2566" width="13" style="1" customWidth="1"/>
    <col min="2567" max="2567" width="12.140625" style="1" customWidth="1"/>
    <col min="2568" max="2568" width="11.28515625" style="1" customWidth="1"/>
    <col min="2569" max="2569" width="37.140625" style="1" customWidth="1"/>
    <col min="2570" max="2570" width="0" style="1" hidden="1" customWidth="1"/>
    <col min="2571" max="2571" width="58.7109375" style="1" customWidth="1"/>
    <col min="2572" max="2574" width="16.7109375" style="1" customWidth="1"/>
    <col min="2575" max="2575" width="53.28515625" style="1" customWidth="1"/>
    <col min="2576" max="2576" width="15.42578125" style="1" customWidth="1"/>
    <col min="2577" max="2821" width="8.7109375" style="1"/>
    <col min="2822" max="2822" width="13" style="1" customWidth="1"/>
    <col min="2823" max="2823" width="12.140625" style="1" customWidth="1"/>
    <col min="2824" max="2824" width="11.28515625" style="1" customWidth="1"/>
    <col min="2825" max="2825" width="37.140625" style="1" customWidth="1"/>
    <col min="2826" max="2826" width="0" style="1" hidden="1" customWidth="1"/>
    <col min="2827" max="2827" width="58.7109375" style="1" customWidth="1"/>
    <col min="2828" max="2830" width="16.7109375" style="1" customWidth="1"/>
    <col min="2831" max="2831" width="53.28515625" style="1" customWidth="1"/>
    <col min="2832" max="2832" width="15.42578125" style="1" customWidth="1"/>
    <col min="2833" max="3077" width="8.7109375" style="1"/>
    <col min="3078" max="3078" width="13" style="1" customWidth="1"/>
    <col min="3079" max="3079" width="12.140625" style="1" customWidth="1"/>
    <col min="3080" max="3080" width="11.28515625" style="1" customWidth="1"/>
    <col min="3081" max="3081" width="37.140625" style="1" customWidth="1"/>
    <col min="3082" max="3082" width="0" style="1" hidden="1" customWidth="1"/>
    <col min="3083" max="3083" width="58.7109375" style="1" customWidth="1"/>
    <col min="3084" max="3086" width="16.7109375" style="1" customWidth="1"/>
    <col min="3087" max="3087" width="53.28515625" style="1" customWidth="1"/>
    <col min="3088" max="3088" width="15.42578125" style="1" customWidth="1"/>
    <col min="3089" max="3333" width="8.7109375" style="1"/>
    <col min="3334" max="3334" width="13" style="1" customWidth="1"/>
    <col min="3335" max="3335" width="12.140625" style="1" customWidth="1"/>
    <col min="3336" max="3336" width="11.28515625" style="1" customWidth="1"/>
    <col min="3337" max="3337" width="37.140625" style="1" customWidth="1"/>
    <col min="3338" max="3338" width="0" style="1" hidden="1" customWidth="1"/>
    <col min="3339" max="3339" width="58.7109375" style="1" customWidth="1"/>
    <col min="3340" max="3342" width="16.7109375" style="1" customWidth="1"/>
    <col min="3343" max="3343" width="53.28515625" style="1" customWidth="1"/>
    <col min="3344" max="3344" width="15.42578125" style="1" customWidth="1"/>
    <col min="3345" max="3589" width="8.7109375" style="1"/>
    <col min="3590" max="3590" width="13" style="1" customWidth="1"/>
    <col min="3591" max="3591" width="12.140625" style="1" customWidth="1"/>
    <col min="3592" max="3592" width="11.28515625" style="1" customWidth="1"/>
    <col min="3593" max="3593" width="37.140625" style="1" customWidth="1"/>
    <col min="3594" max="3594" width="0" style="1" hidden="1" customWidth="1"/>
    <col min="3595" max="3595" width="58.7109375" style="1" customWidth="1"/>
    <col min="3596" max="3598" width="16.7109375" style="1" customWidth="1"/>
    <col min="3599" max="3599" width="53.28515625" style="1" customWidth="1"/>
    <col min="3600" max="3600" width="15.42578125" style="1" customWidth="1"/>
    <col min="3601" max="3845" width="8.7109375" style="1"/>
    <col min="3846" max="3846" width="13" style="1" customWidth="1"/>
    <col min="3847" max="3847" width="12.140625" style="1" customWidth="1"/>
    <col min="3848" max="3848" width="11.28515625" style="1" customWidth="1"/>
    <col min="3849" max="3849" width="37.140625" style="1" customWidth="1"/>
    <col min="3850" max="3850" width="0" style="1" hidden="1" customWidth="1"/>
    <col min="3851" max="3851" width="58.7109375" style="1" customWidth="1"/>
    <col min="3852" max="3854" width="16.7109375" style="1" customWidth="1"/>
    <col min="3855" max="3855" width="53.28515625" style="1" customWidth="1"/>
    <col min="3856" max="3856" width="15.42578125" style="1" customWidth="1"/>
    <col min="3857" max="4101" width="8.7109375" style="1"/>
    <col min="4102" max="4102" width="13" style="1" customWidth="1"/>
    <col min="4103" max="4103" width="12.140625" style="1" customWidth="1"/>
    <col min="4104" max="4104" width="11.28515625" style="1" customWidth="1"/>
    <col min="4105" max="4105" width="37.140625" style="1" customWidth="1"/>
    <col min="4106" max="4106" width="0" style="1" hidden="1" customWidth="1"/>
    <col min="4107" max="4107" width="58.7109375" style="1" customWidth="1"/>
    <col min="4108" max="4110" width="16.7109375" style="1" customWidth="1"/>
    <col min="4111" max="4111" width="53.28515625" style="1" customWidth="1"/>
    <col min="4112" max="4112" width="15.42578125" style="1" customWidth="1"/>
    <col min="4113" max="4357" width="8.7109375" style="1"/>
    <col min="4358" max="4358" width="13" style="1" customWidth="1"/>
    <col min="4359" max="4359" width="12.140625" style="1" customWidth="1"/>
    <col min="4360" max="4360" width="11.28515625" style="1" customWidth="1"/>
    <col min="4361" max="4361" width="37.140625" style="1" customWidth="1"/>
    <col min="4362" max="4362" width="0" style="1" hidden="1" customWidth="1"/>
    <col min="4363" max="4363" width="58.7109375" style="1" customWidth="1"/>
    <col min="4364" max="4366" width="16.7109375" style="1" customWidth="1"/>
    <col min="4367" max="4367" width="53.28515625" style="1" customWidth="1"/>
    <col min="4368" max="4368" width="15.42578125" style="1" customWidth="1"/>
    <col min="4369" max="4613" width="8.7109375" style="1"/>
    <col min="4614" max="4614" width="13" style="1" customWidth="1"/>
    <col min="4615" max="4615" width="12.140625" style="1" customWidth="1"/>
    <col min="4616" max="4616" width="11.28515625" style="1" customWidth="1"/>
    <col min="4617" max="4617" width="37.140625" style="1" customWidth="1"/>
    <col min="4618" max="4618" width="0" style="1" hidden="1" customWidth="1"/>
    <col min="4619" max="4619" width="58.7109375" style="1" customWidth="1"/>
    <col min="4620" max="4622" width="16.7109375" style="1" customWidth="1"/>
    <col min="4623" max="4623" width="53.28515625" style="1" customWidth="1"/>
    <col min="4624" max="4624" width="15.42578125" style="1" customWidth="1"/>
    <col min="4625" max="4869" width="8.7109375" style="1"/>
    <col min="4870" max="4870" width="13" style="1" customWidth="1"/>
    <col min="4871" max="4871" width="12.140625" style="1" customWidth="1"/>
    <col min="4872" max="4872" width="11.28515625" style="1" customWidth="1"/>
    <col min="4873" max="4873" width="37.140625" style="1" customWidth="1"/>
    <col min="4874" max="4874" width="0" style="1" hidden="1" customWidth="1"/>
    <col min="4875" max="4875" width="58.7109375" style="1" customWidth="1"/>
    <col min="4876" max="4878" width="16.7109375" style="1" customWidth="1"/>
    <col min="4879" max="4879" width="53.28515625" style="1" customWidth="1"/>
    <col min="4880" max="4880" width="15.42578125" style="1" customWidth="1"/>
    <col min="4881" max="5125" width="8.7109375" style="1"/>
    <col min="5126" max="5126" width="13" style="1" customWidth="1"/>
    <col min="5127" max="5127" width="12.140625" style="1" customWidth="1"/>
    <col min="5128" max="5128" width="11.28515625" style="1" customWidth="1"/>
    <col min="5129" max="5129" width="37.140625" style="1" customWidth="1"/>
    <col min="5130" max="5130" width="0" style="1" hidden="1" customWidth="1"/>
    <col min="5131" max="5131" width="58.7109375" style="1" customWidth="1"/>
    <col min="5132" max="5134" width="16.7109375" style="1" customWidth="1"/>
    <col min="5135" max="5135" width="53.28515625" style="1" customWidth="1"/>
    <col min="5136" max="5136" width="15.42578125" style="1" customWidth="1"/>
    <col min="5137" max="5381" width="8.7109375" style="1"/>
    <col min="5382" max="5382" width="13" style="1" customWidth="1"/>
    <col min="5383" max="5383" width="12.140625" style="1" customWidth="1"/>
    <col min="5384" max="5384" width="11.28515625" style="1" customWidth="1"/>
    <col min="5385" max="5385" width="37.140625" style="1" customWidth="1"/>
    <col min="5386" max="5386" width="0" style="1" hidden="1" customWidth="1"/>
    <col min="5387" max="5387" width="58.7109375" style="1" customWidth="1"/>
    <col min="5388" max="5390" width="16.7109375" style="1" customWidth="1"/>
    <col min="5391" max="5391" width="53.28515625" style="1" customWidth="1"/>
    <col min="5392" max="5392" width="15.42578125" style="1" customWidth="1"/>
    <col min="5393" max="5637" width="8.7109375" style="1"/>
    <col min="5638" max="5638" width="13" style="1" customWidth="1"/>
    <col min="5639" max="5639" width="12.140625" style="1" customWidth="1"/>
    <col min="5640" max="5640" width="11.28515625" style="1" customWidth="1"/>
    <col min="5641" max="5641" width="37.140625" style="1" customWidth="1"/>
    <col min="5642" max="5642" width="0" style="1" hidden="1" customWidth="1"/>
    <col min="5643" max="5643" width="58.7109375" style="1" customWidth="1"/>
    <col min="5644" max="5646" width="16.7109375" style="1" customWidth="1"/>
    <col min="5647" max="5647" width="53.28515625" style="1" customWidth="1"/>
    <col min="5648" max="5648" width="15.42578125" style="1" customWidth="1"/>
    <col min="5649" max="5893" width="8.7109375" style="1"/>
    <col min="5894" max="5894" width="13" style="1" customWidth="1"/>
    <col min="5895" max="5895" width="12.140625" style="1" customWidth="1"/>
    <col min="5896" max="5896" width="11.28515625" style="1" customWidth="1"/>
    <col min="5897" max="5897" width="37.140625" style="1" customWidth="1"/>
    <col min="5898" max="5898" width="0" style="1" hidden="1" customWidth="1"/>
    <col min="5899" max="5899" width="58.7109375" style="1" customWidth="1"/>
    <col min="5900" max="5902" width="16.7109375" style="1" customWidth="1"/>
    <col min="5903" max="5903" width="53.28515625" style="1" customWidth="1"/>
    <col min="5904" max="5904" width="15.42578125" style="1" customWidth="1"/>
    <col min="5905" max="6149" width="8.7109375" style="1"/>
    <col min="6150" max="6150" width="13" style="1" customWidth="1"/>
    <col min="6151" max="6151" width="12.140625" style="1" customWidth="1"/>
    <col min="6152" max="6152" width="11.28515625" style="1" customWidth="1"/>
    <col min="6153" max="6153" width="37.140625" style="1" customWidth="1"/>
    <col min="6154" max="6154" width="0" style="1" hidden="1" customWidth="1"/>
    <col min="6155" max="6155" width="58.7109375" style="1" customWidth="1"/>
    <col min="6156" max="6158" width="16.7109375" style="1" customWidth="1"/>
    <col min="6159" max="6159" width="53.28515625" style="1" customWidth="1"/>
    <col min="6160" max="6160" width="15.42578125" style="1" customWidth="1"/>
    <col min="6161" max="6405" width="8.7109375" style="1"/>
    <col min="6406" max="6406" width="13" style="1" customWidth="1"/>
    <col min="6407" max="6407" width="12.140625" style="1" customWidth="1"/>
    <col min="6408" max="6408" width="11.28515625" style="1" customWidth="1"/>
    <col min="6409" max="6409" width="37.140625" style="1" customWidth="1"/>
    <col min="6410" max="6410" width="0" style="1" hidden="1" customWidth="1"/>
    <col min="6411" max="6411" width="58.7109375" style="1" customWidth="1"/>
    <col min="6412" max="6414" width="16.7109375" style="1" customWidth="1"/>
    <col min="6415" max="6415" width="53.28515625" style="1" customWidth="1"/>
    <col min="6416" max="6416" width="15.42578125" style="1" customWidth="1"/>
    <col min="6417" max="6661" width="8.7109375" style="1"/>
    <col min="6662" max="6662" width="13" style="1" customWidth="1"/>
    <col min="6663" max="6663" width="12.140625" style="1" customWidth="1"/>
    <col min="6664" max="6664" width="11.28515625" style="1" customWidth="1"/>
    <col min="6665" max="6665" width="37.140625" style="1" customWidth="1"/>
    <col min="6666" max="6666" width="0" style="1" hidden="1" customWidth="1"/>
    <col min="6667" max="6667" width="58.7109375" style="1" customWidth="1"/>
    <col min="6668" max="6670" width="16.7109375" style="1" customWidth="1"/>
    <col min="6671" max="6671" width="53.28515625" style="1" customWidth="1"/>
    <col min="6672" max="6672" width="15.42578125" style="1" customWidth="1"/>
    <col min="6673" max="6917" width="8.7109375" style="1"/>
    <col min="6918" max="6918" width="13" style="1" customWidth="1"/>
    <col min="6919" max="6919" width="12.140625" style="1" customWidth="1"/>
    <col min="6920" max="6920" width="11.28515625" style="1" customWidth="1"/>
    <col min="6921" max="6921" width="37.140625" style="1" customWidth="1"/>
    <col min="6922" max="6922" width="0" style="1" hidden="1" customWidth="1"/>
    <col min="6923" max="6923" width="58.7109375" style="1" customWidth="1"/>
    <col min="6924" max="6926" width="16.7109375" style="1" customWidth="1"/>
    <col min="6927" max="6927" width="53.28515625" style="1" customWidth="1"/>
    <col min="6928" max="6928" width="15.42578125" style="1" customWidth="1"/>
    <col min="6929" max="7173" width="8.7109375" style="1"/>
    <col min="7174" max="7174" width="13" style="1" customWidth="1"/>
    <col min="7175" max="7175" width="12.140625" style="1" customWidth="1"/>
    <col min="7176" max="7176" width="11.28515625" style="1" customWidth="1"/>
    <col min="7177" max="7177" width="37.140625" style="1" customWidth="1"/>
    <col min="7178" max="7178" width="0" style="1" hidden="1" customWidth="1"/>
    <col min="7179" max="7179" width="58.7109375" style="1" customWidth="1"/>
    <col min="7180" max="7182" width="16.7109375" style="1" customWidth="1"/>
    <col min="7183" max="7183" width="53.28515625" style="1" customWidth="1"/>
    <col min="7184" max="7184" width="15.42578125" style="1" customWidth="1"/>
    <col min="7185" max="7429" width="8.7109375" style="1"/>
    <col min="7430" max="7430" width="13" style="1" customWidth="1"/>
    <col min="7431" max="7431" width="12.140625" style="1" customWidth="1"/>
    <col min="7432" max="7432" width="11.28515625" style="1" customWidth="1"/>
    <col min="7433" max="7433" width="37.140625" style="1" customWidth="1"/>
    <col min="7434" max="7434" width="0" style="1" hidden="1" customWidth="1"/>
    <col min="7435" max="7435" width="58.7109375" style="1" customWidth="1"/>
    <col min="7436" max="7438" width="16.7109375" style="1" customWidth="1"/>
    <col min="7439" max="7439" width="53.28515625" style="1" customWidth="1"/>
    <col min="7440" max="7440" width="15.42578125" style="1" customWidth="1"/>
    <col min="7441" max="7685" width="8.7109375" style="1"/>
    <col min="7686" max="7686" width="13" style="1" customWidth="1"/>
    <col min="7687" max="7687" width="12.140625" style="1" customWidth="1"/>
    <col min="7688" max="7688" width="11.28515625" style="1" customWidth="1"/>
    <col min="7689" max="7689" width="37.140625" style="1" customWidth="1"/>
    <col min="7690" max="7690" width="0" style="1" hidden="1" customWidth="1"/>
    <col min="7691" max="7691" width="58.7109375" style="1" customWidth="1"/>
    <col min="7692" max="7694" width="16.7109375" style="1" customWidth="1"/>
    <col min="7695" max="7695" width="53.28515625" style="1" customWidth="1"/>
    <col min="7696" max="7696" width="15.42578125" style="1" customWidth="1"/>
    <col min="7697" max="7941" width="8.7109375" style="1"/>
    <col min="7942" max="7942" width="13" style="1" customWidth="1"/>
    <col min="7943" max="7943" width="12.140625" style="1" customWidth="1"/>
    <col min="7944" max="7944" width="11.28515625" style="1" customWidth="1"/>
    <col min="7945" max="7945" width="37.140625" style="1" customWidth="1"/>
    <col min="7946" max="7946" width="0" style="1" hidden="1" customWidth="1"/>
    <col min="7947" max="7947" width="58.7109375" style="1" customWidth="1"/>
    <col min="7948" max="7950" width="16.7109375" style="1" customWidth="1"/>
    <col min="7951" max="7951" width="53.28515625" style="1" customWidth="1"/>
    <col min="7952" max="7952" width="15.42578125" style="1" customWidth="1"/>
    <col min="7953" max="8197" width="8.7109375" style="1"/>
    <col min="8198" max="8198" width="13" style="1" customWidth="1"/>
    <col min="8199" max="8199" width="12.140625" style="1" customWidth="1"/>
    <col min="8200" max="8200" width="11.28515625" style="1" customWidth="1"/>
    <col min="8201" max="8201" width="37.140625" style="1" customWidth="1"/>
    <col min="8202" max="8202" width="0" style="1" hidden="1" customWidth="1"/>
    <col min="8203" max="8203" width="58.7109375" style="1" customWidth="1"/>
    <col min="8204" max="8206" width="16.7109375" style="1" customWidth="1"/>
    <col min="8207" max="8207" width="53.28515625" style="1" customWidth="1"/>
    <col min="8208" max="8208" width="15.42578125" style="1" customWidth="1"/>
    <col min="8209" max="8453" width="8.7109375" style="1"/>
    <col min="8454" max="8454" width="13" style="1" customWidth="1"/>
    <col min="8455" max="8455" width="12.140625" style="1" customWidth="1"/>
    <col min="8456" max="8456" width="11.28515625" style="1" customWidth="1"/>
    <col min="8457" max="8457" width="37.140625" style="1" customWidth="1"/>
    <col min="8458" max="8458" width="0" style="1" hidden="1" customWidth="1"/>
    <col min="8459" max="8459" width="58.7109375" style="1" customWidth="1"/>
    <col min="8460" max="8462" width="16.7109375" style="1" customWidth="1"/>
    <col min="8463" max="8463" width="53.28515625" style="1" customWidth="1"/>
    <col min="8464" max="8464" width="15.42578125" style="1" customWidth="1"/>
    <col min="8465" max="8709" width="8.7109375" style="1"/>
    <col min="8710" max="8710" width="13" style="1" customWidth="1"/>
    <col min="8711" max="8711" width="12.140625" style="1" customWidth="1"/>
    <col min="8712" max="8712" width="11.28515625" style="1" customWidth="1"/>
    <col min="8713" max="8713" width="37.140625" style="1" customWidth="1"/>
    <col min="8714" max="8714" width="0" style="1" hidden="1" customWidth="1"/>
    <col min="8715" max="8715" width="58.7109375" style="1" customWidth="1"/>
    <col min="8716" max="8718" width="16.7109375" style="1" customWidth="1"/>
    <col min="8719" max="8719" width="53.28515625" style="1" customWidth="1"/>
    <col min="8720" max="8720" width="15.42578125" style="1" customWidth="1"/>
    <col min="8721" max="8965" width="8.7109375" style="1"/>
    <col min="8966" max="8966" width="13" style="1" customWidth="1"/>
    <col min="8967" max="8967" width="12.140625" style="1" customWidth="1"/>
    <col min="8968" max="8968" width="11.28515625" style="1" customWidth="1"/>
    <col min="8969" max="8969" width="37.140625" style="1" customWidth="1"/>
    <col min="8970" max="8970" width="0" style="1" hidden="1" customWidth="1"/>
    <col min="8971" max="8971" width="58.7109375" style="1" customWidth="1"/>
    <col min="8972" max="8974" width="16.7109375" style="1" customWidth="1"/>
    <col min="8975" max="8975" width="53.28515625" style="1" customWidth="1"/>
    <col min="8976" max="8976" width="15.42578125" style="1" customWidth="1"/>
    <col min="8977" max="9221" width="8.7109375" style="1"/>
    <col min="9222" max="9222" width="13" style="1" customWidth="1"/>
    <col min="9223" max="9223" width="12.140625" style="1" customWidth="1"/>
    <col min="9224" max="9224" width="11.28515625" style="1" customWidth="1"/>
    <col min="9225" max="9225" width="37.140625" style="1" customWidth="1"/>
    <col min="9226" max="9226" width="0" style="1" hidden="1" customWidth="1"/>
    <col min="9227" max="9227" width="58.7109375" style="1" customWidth="1"/>
    <col min="9228" max="9230" width="16.7109375" style="1" customWidth="1"/>
    <col min="9231" max="9231" width="53.28515625" style="1" customWidth="1"/>
    <col min="9232" max="9232" width="15.42578125" style="1" customWidth="1"/>
    <col min="9233" max="9477" width="8.7109375" style="1"/>
    <col min="9478" max="9478" width="13" style="1" customWidth="1"/>
    <col min="9479" max="9479" width="12.140625" style="1" customWidth="1"/>
    <col min="9480" max="9480" width="11.28515625" style="1" customWidth="1"/>
    <col min="9481" max="9481" width="37.140625" style="1" customWidth="1"/>
    <col min="9482" max="9482" width="0" style="1" hidden="1" customWidth="1"/>
    <col min="9483" max="9483" width="58.7109375" style="1" customWidth="1"/>
    <col min="9484" max="9486" width="16.7109375" style="1" customWidth="1"/>
    <col min="9487" max="9487" width="53.28515625" style="1" customWidth="1"/>
    <col min="9488" max="9488" width="15.42578125" style="1" customWidth="1"/>
    <col min="9489" max="9733" width="8.7109375" style="1"/>
    <col min="9734" max="9734" width="13" style="1" customWidth="1"/>
    <col min="9735" max="9735" width="12.140625" style="1" customWidth="1"/>
    <col min="9736" max="9736" width="11.28515625" style="1" customWidth="1"/>
    <col min="9737" max="9737" width="37.140625" style="1" customWidth="1"/>
    <col min="9738" max="9738" width="0" style="1" hidden="1" customWidth="1"/>
    <col min="9739" max="9739" width="58.7109375" style="1" customWidth="1"/>
    <col min="9740" max="9742" width="16.7109375" style="1" customWidth="1"/>
    <col min="9743" max="9743" width="53.28515625" style="1" customWidth="1"/>
    <col min="9744" max="9744" width="15.42578125" style="1" customWidth="1"/>
    <col min="9745" max="9989" width="8.7109375" style="1"/>
    <col min="9990" max="9990" width="13" style="1" customWidth="1"/>
    <col min="9991" max="9991" width="12.140625" style="1" customWidth="1"/>
    <col min="9992" max="9992" width="11.28515625" style="1" customWidth="1"/>
    <col min="9993" max="9993" width="37.140625" style="1" customWidth="1"/>
    <col min="9994" max="9994" width="0" style="1" hidden="1" customWidth="1"/>
    <col min="9995" max="9995" width="58.7109375" style="1" customWidth="1"/>
    <col min="9996" max="9998" width="16.7109375" style="1" customWidth="1"/>
    <col min="9999" max="9999" width="53.28515625" style="1" customWidth="1"/>
    <col min="10000" max="10000" width="15.42578125" style="1" customWidth="1"/>
    <col min="10001" max="10245" width="8.7109375" style="1"/>
    <col min="10246" max="10246" width="13" style="1" customWidth="1"/>
    <col min="10247" max="10247" width="12.140625" style="1" customWidth="1"/>
    <col min="10248" max="10248" width="11.28515625" style="1" customWidth="1"/>
    <col min="10249" max="10249" width="37.140625" style="1" customWidth="1"/>
    <col min="10250" max="10250" width="0" style="1" hidden="1" customWidth="1"/>
    <col min="10251" max="10251" width="58.7109375" style="1" customWidth="1"/>
    <col min="10252" max="10254" width="16.7109375" style="1" customWidth="1"/>
    <col min="10255" max="10255" width="53.28515625" style="1" customWidth="1"/>
    <col min="10256" max="10256" width="15.42578125" style="1" customWidth="1"/>
    <col min="10257" max="10501" width="8.7109375" style="1"/>
    <col min="10502" max="10502" width="13" style="1" customWidth="1"/>
    <col min="10503" max="10503" width="12.140625" style="1" customWidth="1"/>
    <col min="10504" max="10504" width="11.28515625" style="1" customWidth="1"/>
    <col min="10505" max="10505" width="37.140625" style="1" customWidth="1"/>
    <col min="10506" max="10506" width="0" style="1" hidden="1" customWidth="1"/>
    <col min="10507" max="10507" width="58.7109375" style="1" customWidth="1"/>
    <col min="10508" max="10510" width="16.7109375" style="1" customWidth="1"/>
    <col min="10511" max="10511" width="53.28515625" style="1" customWidth="1"/>
    <col min="10512" max="10512" width="15.42578125" style="1" customWidth="1"/>
    <col min="10513" max="10757" width="8.7109375" style="1"/>
    <col min="10758" max="10758" width="13" style="1" customWidth="1"/>
    <col min="10759" max="10759" width="12.140625" style="1" customWidth="1"/>
    <col min="10760" max="10760" width="11.28515625" style="1" customWidth="1"/>
    <col min="10761" max="10761" width="37.140625" style="1" customWidth="1"/>
    <col min="10762" max="10762" width="0" style="1" hidden="1" customWidth="1"/>
    <col min="10763" max="10763" width="58.7109375" style="1" customWidth="1"/>
    <col min="10764" max="10766" width="16.7109375" style="1" customWidth="1"/>
    <col min="10767" max="10767" width="53.28515625" style="1" customWidth="1"/>
    <col min="10768" max="10768" width="15.42578125" style="1" customWidth="1"/>
    <col min="10769" max="11013" width="8.7109375" style="1"/>
    <col min="11014" max="11014" width="13" style="1" customWidth="1"/>
    <col min="11015" max="11015" width="12.140625" style="1" customWidth="1"/>
    <col min="11016" max="11016" width="11.28515625" style="1" customWidth="1"/>
    <col min="11017" max="11017" width="37.140625" style="1" customWidth="1"/>
    <col min="11018" max="11018" width="0" style="1" hidden="1" customWidth="1"/>
    <col min="11019" max="11019" width="58.7109375" style="1" customWidth="1"/>
    <col min="11020" max="11022" width="16.7109375" style="1" customWidth="1"/>
    <col min="11023" max="11023" width="53.28515625" style="1" customWidth="1"/>
    <col min="11024" max="11024" width="15.42578125" style="1" customWidth="1"/>
    <col min="11025" max="11269" width="8.7109375" style="1"/>
    <col min="11270" max="11270" width="13" style="1" customWidth="1"/>
    <col min="11271" max="11271" width="12.140625" style="1" customWidth="1"/>
    <col min="11272" max="11272" width="11.28515625" style="1" customWidth="1"/>
    <col min="11273" max="11273" width="37.140625" style="1" customWidth="1"/>
    <col min="11274" max="11274" width="0" style="1" hidden="1" customWidth="1"/>
    <col min="11275" max="11275" width="58.7109375" style="1" customWidth="1"/>
    <col min="11276" max="11278" width="16.7109375" style="1" customWidth="1"/>
    <col min="11279" max="11279" width="53.28515625" style="1" customWidth="1"/>
    <col min="11280" max="11280" width="15.42578125" style="1" customWidth="1"/>
    <col min="11281" max="11525" width="8.7109375" style="1"/>
    <col min="11526" max="11526" width="13" style="1" customWidth="1"/>
    <col min="11527" max="11527" width="12.140625" style="1" customWidth="1"/>
    <col min="11528" max="11528" width="11.28515625" style="1" customWidth="1"/>
    <col min="11529" max="11529" width="37.140625" style="1" customWidth="1"/>
    <col min="11530" max="11530" width="0" style="1" hidden="1" customWidth="1"/>
    <col min="11531" max="11531" width="58.7109375" style="1" customWidth="1"/>
    <col min="11532" max="11534" width="16.7109375" style="1" customWidth="1"/>
    <col min="11535" max="11535" width="53.28515625" style="1" customWidth="1"/>
    <col min="11536" max="11536" width="15.42578125" style="1" customWidth="1"/>
    <col min="11537" max="11781" width="8.7109375" style="1"/>
    <col min="11782" max="11782" width="13" style="1" customWidth="1"/>
    <col min="11783" max="11783" width="12.140625" style="1" customWidth="1"/>
    <col min="11784" max="11784" width="11.28515625" style="1" customWidth="1"/>
    <col min="11785" max="11785" width="37.140625" style="1" customWidth="1"/>
    <col min="11786" max="11786" width="0" style="1" hidden="1" customWidth="1"/>
    <col min="11787" max="11787" width="58.7109375" style="1" customWidth="1"/>
    <col min="11788" max="11790" width="16.7109375" style="1" customWidth="1"/>
    <col min="11791" max="11791" width="53.28515625" style="1" customWidth="1"/>
    <col min="11792" max="11792" width="15.42578125" style="1" customWidth="1"/>
    <col min="11793" max="12037" width="8.7109375" style="1"/>
    <col min="12038" max="12038" width="13" style="1" customWidth="1"/>
    <col min="12039" max="12039" width="12.140625" style="1" customWidth="1"/>
    <col min="12040" max="12040" width="11.28515625" style="1" customWidth="1"/>
    <col min="12041" max="12041" width="37.140625" style="1" customWidth="1"/>
    <col min="12042" max="12042" width="0" style="1" hidden="1" customWidth="1"/>
    <col min="12043" max="12043" width="58.7109375" style="1" customWidth="1"/>
    <col min="12044" max="12046" width="16.7109375" style="1" customWidth="1"/>
    <col min="12047" max="12047" width="53.28515625" style="1" customWidth="1"/>
    <col min="12048" max="12048" width="15.42578125" style="1" customWidth="1"/>
    <col min="12049" max="12293" width="8.7109375" style="1"/>
    <col min="12294" max="12294" width="13" style="1" customWidth="1"/>
    <col min="12295" max="12295" width="12.140625" style="1" customWidth="1"/>
    <col min="12296" max="12296" width="11.28515625" style="1" customWidth="1"/>
    <col min="12297" max="12297" width="37.140625" style="1" customWidth="1"/>
    <col min="12298" max="12298" width="0" style="1" hidden="1" customWidth="1"/>
    <col min="12299" max="12299" width="58.7109375" style="1" customWidth="1"/>
    <col min="12300" max="12302" width="16.7109375" style="1" customWidth="1"/>
    <col min="12303" max="12303" width="53.28515625" style="1" customWidth="1"/>
    <col min="12304" max="12304" width="15.42578125" style="1" customWidth="1"/>
    <col min="12305" max="12549" width="8.7109375" style="1"/>
    <col min="12550" max="12550" width="13" style="1" customWidth="1"/>
    <col min="12551" max="12551" width="12.140625" style="1" customWidth="1"/>
    <col min="12552" max="12552" width="11.28515625" style="1" customWidth="1"/>
    <col min="12553" max="12553" width="37.140625" style="1" customWidth="1"/>
    <col min="12554" max="12554" width="0" style="1" hidden="1" customWidth="1"/>
    <col min="12555" max="12555" width="58.7109375" style="1" customWidth="1"/>
    <col min="12556" max="12558" width="16.7109375" style="1" customWidth="1"/>
    <col min="12559" max="12559" width="53.28515625" style="1" customWidth="1"/>
    <col min="12560" max="12560" width="15.42578125" style="1" customWidth="1"/>
    <col min="12561" max="12805" width="8.7109375" style="1"/>
    <col min="12806" max="12806" width="13" style="1" customWidth="1"/>
    <col min="12807" max="12807" width="12.140625" style="1" customWidth="1"/>
    <col min="12808" max="12808" width="11.28515625" style="1" customWidth="1"/>
    <col min="12809" max="12809" width="37.140625" style="1" customWidth="1"/>
    <col min="12810" max="12810" width="0" style="1" hidden="1" customWidth="1"/>
    <col min="12811" max="12811" width="58.7109375" style="1" customWidth="1"/>
    <col min="12812" max="12814" width="16.7109375" style="1" customWidth="1"/>
    <col min="12815" max="12815" width="53.28515625" style="1" customWidth="1"/>
    <col min="12816" max="12816" width="15.42578125" style="1" customWidth="1"/>
    <col min="12817" max="13061" width="8.7109375" style="1"/>
    <col min="13062" max="13062" width="13" style="1" customWidth="1"/>
    <col min="13063" max="13063" width="12.140625" style="1" customWidth="1"/>
    <col min="13064" max="13064" width="11.28515625" style="1" customWidth="1"/>
    <col min="13065" max="13065" width="37.140625" style="1" customWidth="1"/>
    <col min="13066" max="13066" width="0" style="1" hidden="1" customWidth="1"/>
    <col min="13067" max="13067" width="58.7109375" style="1" customWidth="1"/>
    <col min="13068" max="13070" width="16.7109375" style="1" customWidth="1"/>
    <col min="13071" max="13071" width="53.28515625" style="1" customWidth="1"/>
    <col min="13072" max="13072" width="15.42578125" style="1" customWidth="1"/>
    <col min="13073" max="13317" width="8.7109375" style="1"/>
    <col min="13318" max="13318" width="13" style="1" customWidth="1"/>
    <col min="13319" max="13319" width="12.140625" style="1" customWidth="1"/>
    <col min="13320" max="13320" width="11.28515625" style="1" customWidth="1"/>
    <col min="13321" max="13321" width="37.140625" style="1" customWidth="1"/>
    <col min="13322" max="13322" width="0" style="1" hidden="1" customWidth="1"/>
    <col min="13323" max="13323" width="58.7109375" style="1" customWidth="1"/>
    <col min="13324" max="13326" width="16.7109375" style="1" customWidth="1"/>
    <col min="13327" max="13327" width="53.28515625" style="1" customWidth="1"/>
    <col min="13328" max="13328" width="15.42578125" style="1" customWidth="1"/>
    <col min="13329" max="13573" width="8.7109375" style="1"/>
    <col min="13574" max="13574" width="13" style="1" customWidth="1"/>
    <col min="13575" max="13575" width="12.140625" style="1" customWidth="1"/>
    <col min="13576" max="13576" width="11.28515625" style="1" customWidth="1"/>
    <col min="13577" max="13577" width="37.140625" style="1" customWidth="1"/>
    <col min="13578" max="13578" width="0" style="1" hidden="1" customWidth="1"/>
    <col min="13579" max="13579" width="58.7109375" style="1" customWidth="1"/>
    <col min="13580" max="13582" width="16.7109375" style="1" customWidth="1"/>
    <col min="13583" max="13583" width="53.28515625" style="1" customWidth="1"/>
    <col min="13584" max="13584" width="15.42578125" style="1" customWidth="1"/>
    <col min="13585" max="13829" width="8.7109375" style="1"/>
    <col min="13830" max="13830" width="13" style="1" customWidth="1"/>
    <col min="13831" max="13831" width="12.140625" style="1" customWidth="1"/>
    <col min="13832" max="13832" width="11.28515625" style="1" customWidth="1"/>
    <col min="13833" max="13833" width="37.140625" style="1" customWidth="1"/>
    <col min="13834" max="13834" width="0" style="1" hidden="1" customWidth="1"/>
    <col min="13835" max="13835" width="58.7109375" style="1" customWidth="1"/>
    <col min="13836" max="13838" width="16.7109375" style="1" customWidth="1"/>
    <col min="13839" max="13839" width="53.28515625" style="1" customWidth="1"/>
    <col min="13840" max="13840" width="15.42578125" style="1" customWidth="1"/>
    <col min="13841" max="14085" width="8.7109375" style="1"/>
    <col min="14086" max="14086" width="13" style="1" customWidth="1"/>
    <col min="14087" max="14087" width="12.140625" style="1" customWidth="1"/>
    <col min="14088" max="14088" width="11.28515625" style="1" customWidth="1"/>
    <col min="14089" max="14089" width="37.140625" style="1" customWidth="1"/>
    <col min="14090" max="14090" width="0" style="1" hidden="1" customWidth="1"/>
    <col min="14091" max="14091" width="58.7109375" style="1" customWidth="1"/>
    <col min="14092" max="14094" width="16.7109375" style="1" customWidth="1"/>
    <col min="14095" max="14095" width="53.28515625" style="1" customWidth="1"/>
    <col min="14096" max="14096" width="15.42578125" style="1" customWidth="1"/>
    <col min="14097" max="14341" width="8.7109375" style="1"/>
    <col min="14342" max="14342" width="13" style="1" customWidth="1"/>
    <col min="14343" max="14343" width="12.140625" style="1" customWidth="1"/>
    <col min="14344" max="14344" width="11.28515625" style="1" customWidth="1"/>
    <col min="14345" max="14345" width="37.140625" style="1" customWidth="1"/>
    <col min="14346" max="14346" width="0" style="1" hidden="1" customWidth="1"/>
    <col min="14347" max="14347" width="58.7109375" style="1" customWidth="1"/>
    <col min="14348" max="14350" width="16.7109375" style="1" customWidth="1"/>
    <col min="14351" max="14351" width="53.28515625" style="1" customWidth="1"/>
    <col min="14352" max="14352" width="15.42578125" style="1" customWidth="1"/>
    <col min="14353" max="14597" width="8.7109375" style="1"/>
    <col min="14598" max="14598" width="13" style="1" customWidth="1"/>
    <col min="14599" max="14599" width="12.140625" style="1" customWidth="1"/>
    <col min="14600" max="14600" width="11.28515625" style="1" customWidth="1"/>
    <col min="14601" max="14601" width="37.140625" style="1" customWidth="1"/>
    <col min="14602" max="14602" width="0" style="1" hidden="1" customWidth="1"/>
    <col min="14603" max="14603" width="58.7109375" style="1" customWidth="1"/>
    <col min="14604" max="14606" width="16.7109375" style="1" customWidth="1"/>
    <col min="14607" max="14607" width="53.28515625" style="1" customWidth="1"/>
    <col min="14608" max="14608" width="15.42578125" style="1" customWidth="1"/>
    <col min="14609" max="14853" width="8.7109375" style="1"/>
    <col min="14854" max="14854" width="13" style="1" customWidth="1"/>
    <col min="14855" max="14855" width="12.140625" style="1" customWidth="1"/>
    <col min="14856" max="14856" width="11.28515625" style="1" customWidth="1"/>
    <col min="14857" max="14857" width="37.140625" style="1" customWidth="1"/>
    <col min="14858" max="14858" width="0" style="1" hidden="1" customWidth="1"/>
    <col min="14859" max="14859" width="58.7109375" style="1" customWidth="1"/>
    <col min="14860" max="14862" width="16.7109375" style="1" customWidth="1"/>
    <col min="14863" max="14863" width="53.28515625" style="1" customWidth="1"/>
    <col min="14864" max="14864" width="15.42578125" style="1" customWidth="1"/>
    <col min="14865" max="15109" width="8.7109375" style="1"/>
    <col min="15110" max="15110" width="13" style="1" customWidth="1"/>
    <col min="15111" max="15111" width="12.140625" style="1" customWidth="1"/>
    <col min="15112" max="15112" width="11.28515625" style="1" customWidth="1"/>
    <col min="15113" max="15113" width="37.140625" style="1" customWidth="1"/>
    <col min="15114" max="15114" width="0" style="1" hidden="1" customWidth="1"/>
    <col min="15115" max="15115" width="58.7109375" style="1" customWidth="1"/>
    <col min="15116" max="15118" width="16.7109375" style="1" customWidth="1"/>
    <col min="15119" max="15119" width="53.28515625" style="1" customWidth="1"/>
    <col min="15120" max="15120" width="15.42578125" style="1" customWidth="1"/>
    <col min="15121" max="15365" width="8.7109375" style="1"/>
    <col min="15366" max="15366" width="13" style="1" customWidth="1"/>
    <col min="15367" max="15367" width="12.140625" style="1" customWidth="1"/>
    <col min="15368" max="15368" width="11.28515625" style="1" customWidth="1"/>
    <col min="15369" max="15369" width="37.140625" style="1" customWidth="1"/>
    <col min="15370" max="15370" width="0" style="1" hidden="1" customWidth="1"/>
    <col min="15371" max="15371" width="58.7109375" style="1" customWidth="1"/>
    <col min="15372" max="15374" width="16.7109375" style="1" customWidth="1"/>
    <col min="15375" max="15375" width="53.28515625" style="1" customWidth="1"/>
    <col min="15376" max="15376" width="15.42578125" style="1" customWidth="1"/>
    <col min="15377" max="15621" width="8.7109375" style="1"/>
    <col min="15622" max="15622" width="13" style="1" customWidth="1"/>
    <col min="15623" max="15623" width="12.140625" style="1" customWidth="1"/>
    <col min="15624" max="15624" width="11.28515625" style="1" customWidth="1"/>
    <col min="15625" max="15625" width="37.140625" style="1" customWidth="1"/>
    <col min="15626" max="15626" width="0" style="1" hidden="1" customWidth="1"/>
    <col min="15627" max="15627" width="58.7109375" style="1" customWidth="1"/>
    <col min="15628" max="15630" width="16.7109375" style="1" customWidth="1"/>
    <col min="15631" max="15631" width="53.28515625" style="1" customWidth="1"/>
    <col min="15632" max="15632" width="15.42578125" style="1" customWidth="1"/>
    <col min="15633" max="15877" width="8.7109375" style="1"/>
    <col min="15878" max="15878" width="13" style="1" customWidth="1"/>
    <col min="15879" max="15879" width="12.140625" style="1" customWidth="1"/>
    <col min="15880" max="15880" width="11.28515625" style="1" customWidth="1"/>
    <col min="15881" max="15881" width="37.140625" style="1" customWidth="1"/>
    <col min="15882" max="15882" width="0" style="1" hidden="1" customWidth="1"/>
    <col min="15883" max="15883" width="58.7109375" style="1" customWidth="1"/>
    <col min="15884" max="15886" width="16.7109375" style="1" customWidth="1"/>
    <col min="15887" max="15887" width="53.28515625" style="1" customWidth="1"/>
    <col min="15888" max="15888" width="15.42578125" style="1" customWidth="1"/>
    <col min="15889" max="16133" width="8.7109375" style="1"/>
    <col min="16134" max="16134" width="13" style="1" customWidth="1"/>
    <col min="16135" max="16135" width="12.140625" style="1" customWidth="1"/>
    <col min="16136" max="16136" width="11.28515625" style="1" customWidth="1"/>
    <col min="16137" max="16137" width="37.140625" style="1" customWidth="1"/>
    <col min="16138" max="16138" width="0" style="1" hidden="1" customWidth="1"/>
    <col min="16139" max="16139" width="58.7109375" style="1" customWidth="1"/>
    <col min="16140" max="16142" width="16.7109375" style="1" customWidth="1"/>
    <col min="16143" max="16143" width="53.28515625" style="1" customWidth="1"/>
    <col min="16144" max="16144" width="15.42578125" style="1" customWidth="1"/>
    <col min="16145" max="16384" width="8.7109375" style="1"/>
  </cols>
  <sheetData>
    <row r="1" spans="1:15" ht="10.5" customHeight="1" x14ac:dyDescent="0.3">
      <c r="A1" s="1"/>
      <c r="B1" s="2"/>
      <c r="C1" s="2"/>
      <c r="D1" s="1"/>
      <c r="E1" s="1"/>
      <c r="F1" s="1"/>
      <c r="G1" s="1"/>
      <c r="H1" s="1"/>
      <c r="I1" s="1"/>
      <c r="J1" s="1"/>
      <c r="K1" s="3"/>
      <c r="L1" s="3"/>
      <c r="M1" s="3"/>
      <c r="N1" s="3"/>
    </row>
    <row r="2" spans="1:15" ht="10.5" customHeight="1" x14ac:dyDescent="0.3">
      <c r="A2" s="1"/>
      <c r="B2" s="2"/>
      <c r="C2" s="2"/>
      <c r="D2" s="1"/>
      <c r="E2" s="1"/>
      <c r="F2" s="1"/>
      <c r="G2" s="1"/>
      <c r="H2" s="1"/>
      <c r="I2" s="1"/>
      <c r="J2" s="1"/>
      <c r="K2" s="478"/>
      <c r="L2" s="478"/>
      <c r="M2" s="478"/>
      <c r="N2" s="478"/>
    </row>
    <row r="3" spans="1:15" ht="10.5" customHeight="1" x14ac:dyDescent="0.2">
      <c r="A3" s="1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4" customFormat="1" ht="20.25" x14ac:dyDescent="0.25">
      <c r="B4" s="479" t="s">
        <v>303</v>
      </c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5" s="4" customFormat="1" ht="18.75" hidden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23.25" customHeight="1" x14ac:dyDescent="0.3">
      <c r="A6" s="1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3" t="s">
        <v>0</v>
      </c>
      <c r="N6" s="1"/>
    </row>
    <row r="7" spans="1:15" s="222" customFormat="1" ht="45" customHeight="1" x14ac:dyDescent="0.25">
      <c r="A7" s="481" t="s">
        <v>1</v>
      </c>
      <c r="B7" s="482" t="s">
        <v>2</v>
      </c>
      <c r="C7" s="482" t="s">
        <v>3</v>
      </c>
      <c r="D7" s="483" t="s">
        <v>4</v>
      </c>
      <c r="E7" s="483"/>
      <c r="F7" s="483" t="s">
        <v>283</v>
      </c>
      <c r="G7" s="484" t="s">
        <v>5</v>
      </c>
      <c r="H7" s="485"/>
      <c r="I7" s="486"/>
      <c r="J7" s="221"/>
      <c r="K7" s="484" t="s">
        <v>6</v>
      </c>
      <c r="L7" s="485"/>
      <c r="M7" s="485"/>
      <c r="N7" s="486"/>
    </row>
    <row r="8" spans="1:15" s="222" customFormat="1" ht="69" customHeight="1" x14ac:dyDescent="0.25">
      <c r="A8" s="481"/>
      <c r="B8" s="482"/>
      <c r="C8" s="482"/>
      <c r="D8" s="483"/>
      <c r="E8" s="483"/>
      <c r="F8" s="483"/>
      <c r="G8" s="223" t="s">
        <v>284</v>
      </c>
      <c r="H8" s="223" t="s">
        <v>285</v>
      </c>
      <c r="I8" s="223" t="s">
        <v>304</v>
      </c>
      <c r="J8" s="223" t="s">
        <v>286</v>
      </c>
      <c r="K8" s="223" t="s">
        <v>284</v>
      </c>
      <c r="L8" s="223" t="s">
        <v>285</v>
      </c>
      <c r="M8" s="223" t="s">
        <v>304</v>
      </c>
      <c r="N8" s="223" t="s">
        <v>286</v>
      </c>
    </row>
    <row r="9" spans="1:15" s="8" customFormat="1" ht="19.5" customHeight="1" x14ac:dyDescent="0.25">
      <c r="A9" s="7"/>
      <c r="B9" s="480" t="s">
        <v>7</v>
      </c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</row>
    <row r="10" spans="1:15" s="10" customFormat="1" ht="42" customHeight="1" x14ac:dyDescent="0.25">
      <c r="A10" s="161" t="s">
        <v>8</v>
      </c>
      <c r="B10" s="162"/>
      <c r="C10" s="162"/>
      <c r="D10" s="163" t="s">
        <v>9</v>
      </c>
      <c r="E10" s="164"/>
      <c r="F10" s="165"/>
      <c r="G10" s="255"/>
      <c r="H10" s="255"/>
      <c r="I10" s="255"/>
      <c r="J10" s="255"/>
      <c r="K10" s="256"/>
      <c r="L10" s="256"/>
      <c r="M10" s="256"/>
      <c r="N10" s="256"/>
    </row>
    <row r="11" spans="1:15" s="10" customFormat="1" ht="38.25" customHeight="1" x14ac:dyDescent="0.25">
      <c r="A11" s="193" t="s">
        <v>10</v>
      </c>
      <c r="B11" s="194"/>
      <c r="C11" s="194"/>
      <c r="D11" s="156" t="s">
        <v>9</v>
      </c>
      <c r="E11" s="195"/>
      <c r="F11" s="9"/>
      <c r="G11" s="257"/>
      <c r="H11" s="257"/>
      <c r="I11" s="257"/>
      <c r="J11" s="257"/>
      <c r="K11" s="258"/>
      <c r="L11" s="258"/>
      <c r="M11" s="258"/>
      <c r="N11" s="258"/>
    </row>
    <row r="12" spans="1:15" s="15" customFormat="1" ht="83.45" customHeight="1" x14ac:dyDescent="0.25">
      <c r="A12" s="11"/>
      <c r="B12" s="11"/>
      <c r="C12" s="11"/>
      <c r="D12" s="12"/>
      <c r="E12" s="12"/>
      <c r="F12" s="219" t="s">
        <v>11</v>
      </c>
      <c r="G12" s="259">
        <f>G13+G14</f>
        <v>120</v>
      </c>
      <c r="H12" s="259">
        <f>H13+H14</f>
        <v>36.200000000000003</v>
      </c>
      <c r="I12" s="259">
        <f t="shared" ref="I12" si="0">I13+I14</f>
        <v>29.003360000000001</v>
      </c>
      <c r="J12" s="259">
        <f>I12/G12*100</f>
        <v>24.169466666666668</v>
      </c>
      <c r="K12" s="259">
        <f>K13+K14</f>
        <v>0</v>
      </c>
      <c r="L12" s="259">
        <f>L13+L14</f>
        <v>0</v>
      </c>
      <c r="M12" s="259">
        <f>M13+M14</f>
        <v>0</v>
      </c>
      <c r="N12" s="259"/>
      <c r="O12" s="14"/>
    </row>
    <row r="13" spans="1:15" s="19" customFormat="1" ht="84" customHeight="1" x14ac:dyDescent="0.25">
      <c r="A13" s="11" t="s">
        <v>12</v>
      </c>
      <c r="B13" s="11" t="s">
        <v>13</v>
      </c>
      <c r="C13" s="11" t="s">
        <v>14</v>
      </c>
      <c r="D13" s="16" t="s">
        <v>15</v>
      </c>
      <c r="E13" s="17"/>
      <c r="F13" s="18" t="s">
        <v>16</v>
      </c>
      <c r="G13" s="260">
        <v>10</v>
      </c>
      <c r="H13" s="260">
        <v>3.2</v>
      </c>
      <c r="I13" s="260">
        <v>0.58818000000000004</v>
      </c>
      <c r="J13" s="260"/>
      <c r="K13" s="260"/>
      <c r="L13" s="260"/>
      <c r="M13" s="260"/>
      <c r="N13" s="260"/>
      <c r="O13" s="14"/>
    </row>
    <row r="14" spans="1:15" s="19" customFormat="1" ht="36" customHeight="1" x14ac:dyDescent="0.25">
      <c r="A14" s="11" t="s">
        <v>17</v>
      </c>
      <c r="B14" s="11" t="s">
        <v>18</v>
      </c>
      <c r="C14" s="11" t="s">
        <v>19</v>
      </c>
      <c r="D14" s="20" t="s">
        <v>20</v>
      </c>
      <c r="E14" s="17"/>
      <c r="F14" s="18"/>
      <c r="G14" s="260">
        <f>G15</f>
        <v>110</v>
      </c>
      <c r="H14" s="260">
        <f>H15</f>
        <v>33</v>
      </c>
      <c r="I14" s="260">
        <f t="shared" ref="I14" si="1">I15</f>
        <v>28.415179999999999</v>
      </c>
      <c r="J14" s="260"/>
      <c r="K14" s="260">
        <f>K15</f>
        <v>0</v>
      </c>
      <c r="L14" s="260"/>
      <c r="M14" s="260"/>
      <c r="N14" s="260"/>
      <c r="O14" s="14"/>
    </row>
    <row r="15" spans="1:15" s="19" customFormat="1" ht="102.75" customHeight="1" x14ac:dyDescent="0.25">
      <c r="A15" s="21" t="s">
        <v>21</v>
      </c>
      <c r="B15" s="21" t="s">
        <v>22</v>
      </c>
      <c r="C15" s="21" t="s">
        <v>19</v>
      </c>
      <c r="D15" s="16" t="s">
        <v>23</v>
      </c>
      <c r="E15" s="17"/>
      <c r="F15" s="17" t="s">
        <v>24</v>
      </c>
      <c r="G15" s="260">
        <v>110</v>
      </c>
      <c r="H15" s="260">
        <f>22+11</f>
        <v>33</v>
      </c>
      <c r="I15" s="260">
        <f>9.8+18.61518</f>
        <v>28.415179999999999</v>
      </c>
      <c r="J15" s="260"/>
      <c r="K15" s="260"/>
      <c r="L15" s="260"/>
      <c r="M15" s="260"/>
      <c r="N15" s="260"/>
      <c r="O15" s="14"/>
    </row>
    <row r="16" spans="1:15" s="19" customFormat="1" ht="24" customHeight="1" x14ac:dyDescent="0.25">
      <c r="A16" s="11" t="s">
        <v>25</v>
      </c>
      <c r="B16" s="11" t="s">
        <v>26</v>
      </c>
      <c r="C16" s="11" t="s">
        <v>13</v>
      </c>
      <c r="D16" s="17" t="s">
        <v>27</v>
      </c>
      <c r="E16" s="17"/>
      <c r="F16" s="220"/>
      <c r="G16" s="259">
        <f>G17+G22</f>
        <v>149.6</v>
      </c>
      <c r="H16" s="259">
        <f t="shared" ref="H16:I16" si="2">H17+H22</f>
        <v>63.511000000000003</v>
      </c>
      <c r="I16" s="259">
        <f t="shared" si="2"/>
        <v>21.599999999999998</v>
      </c>
      <c r="J16" s="259">
        <f>I16/G16*100</f>
        <v>14.438502673796791</v>
      </c>
      <c r="K16" s="259">
        <f>K17+K22</f>
        <v>0</v>
      </c>
      <c r="L16" s="259">
        <f>L17+L22</f>
        <v>0</v>
      </c>
      <c r="M16" s="259">
        <f>M17+M22</f>
        <v>0</v>
      </c>
      <c r="N16" s="259"/>
      <c r="O16" s="14"/>
    </row>
    <row r="17" spans="1:22" s="19" customFormat="1" ht="85.5" customHeight="1" x14ac:dyDescent="0.25">
      <c r="A17" s="154" t="s">
        <v>28</v>
      </c>
      <c r="B17" s="21" t="s">
        <v>29</v>
      </c>
      <c r="C17" s="21" t="s">
        <v>30</v>
      </c>
      <c r="D17" s="17" t="s">
        <v>27</v>
      </c>
      <c r="E17" s="17"/>
      <c r="F17" s="22" t="s">
        <v>31</v>
      </c>
      <c r="G17" s="261">
        <f>G18+G19+G20+G21</f>
        <v>134.6</v>
      </c>
      <c r="H17" s="261">
        <f>H18+H19+H20+H21</f>
        <v>58.511000000000003</v>
      </c>
      <c r="I17" s="261">
        <f>I18+I19+I20+I21</f>
        <v>16.899999999999999</v>
      </c>
      <c r="J17" s="261"/>
      <c r="K17" s="261">
        <v>0</v>
      </c>
      <c r="L17" s="261"/>
      <c r="M17" s="261"/>
      <c r="N17" s="261"/>
      <c r="O17" s="14"/>
    </row>
    <row r="18" spans="1:22" s="19" customFormat="1" ht="27.75" customHeight="1" x14ac:dyDescent="0.25">
      <c r="A18" s="154"/>
      <c r="B18" s="21"/>
      <c r="C18" s="21"/>
      <c r="D18" s="17"/>
      <c r="E18" s="17"/>
      <c r="F18" s="17" t="s">
        <v>296</v>
      </c>
      <c r="G18" s="261">
        <v>20.8</v>
      </c>
      <c r="H18" s="261">
        <v>11</v>
      </c>
      <c r="I18" s="261">
        <v>2.9</v>
      </c>
      <c r="J18" s="261"/>
      <c r="K18" s="261"/>
      <c r="L18" s="261"/>
      <c r="M18" s="261"/>
      <c r="N18" s="261"/>
      <c r="O18" s="14"/>
    </row>
    <row r="19" spans="1:22" s="19" customFormat="1" ht="36" customHeight="1" x14ac:dyDescent="0.25">
      <c r="A19" s="154"/>
      <c r="B19" s="21"/>
      <c r="C19" s="21"/>
      <c r="D19" s="17"/>
      <c r="E19" s="17"/>
      <c r="F19" s="17" t="s">
        <v>297</v>
      </c>
      <c r="G19" s="261">
        <v>24.2</v>
      </c>
      <c r="H19" s="261">
        <v>24.2</v>
      </c>
      <c r="I19" s="261">
        <v>2</v>
      </c>
      <c r="J19" s="261"/>
      <c r="K19" s="261"/>
      <c r="L19" s="261"/>
      <c r="M19" s="261"/>
      <c r="N19" s="261"/>
      <c r="O19" s="14"/>
    </row>
    <row r="20" spans="1:22" s="19" customFormat="1" ht="25.5" customHeight="1" x14ac:dyDescent="0.25">
      <c r="A20" s="154"/>
      <c r="B20" s="21"/>
      <c r="C20" s="21"/>
      <c r="D20" s="17"/>
      <c r="E20" s="17"/>
      <c r="F20" s="17" t="s">
        <v>298</v>
      </c>
      <c r="G20" s="261">
        <v>15</v>
      </c>
      <c r="H20" s="261">
        <v>0</v>
      </c>
      <c r="I20" s="261">
        <v>0</v>
      </c>
      <c r="J20" s="261"/>
      <c r="K20" s="261"/>
      <c r="L20" s="261"/>
      <c r="M20" s="261"/>
      <c r="N20" s="261"/>
      <c r="O20" s="14"/>
    </row>
    <row r="21" spans="1:22" s="19" customFormat="1" ht="28.5" customHeight="1" x14ac:dyDescent="0.25">
      <c r="A21" s="154"/>
      <c r="B21" s="21"/>
      <c r="C21" s="21"/>
      <c r="D21" s="17"/>
      <c r="E21" s="17"/>
      <c r="F21" s="17" t="s">
        <v>299</v>
      </c>
      <c r="G21" s="260">
        <v>74.599999999999994</v>
      </c>
      <c r="H21" s="260">
        <v>23.311</v>
      </c>
      <c r="I21" s="260">
        <v>12</v>
      </c>
      <c r="J21" s="261"/>
      <c r="K21" s="261"/>
      <c r="L21" s="261"/>
      <c r="M21" s="261"/>
      <c r="N21" s="261"/>
      <c r="O21" s="14"/>
    </row>
    <row r="22" spans="1:22" s="19" customFormat="1" ht="89.25" customHeight="1" x14ac:dyDescent="0.25">
      <c r="A22" s="11" t="s">
        <v>32</v>
      </c>
      <c r="B22" s="21" t="s">
        <v>33</v>
      </c>
      <c r="C22" s="21" t="s">
        <v>30</v>
      </c>
      <c r="D22" s="17" t="s">
        <v>27</v>
      </c>
      <c r="E22" s="17"/>
      <c r="F22" s="23" t="s">
        <v>34</v>
      </c>
      <c r="G22" s="261">
        <f>5+10</f>
        <v>15</v>
      </c>
      <c r="H22" s="261">
        <v>5</v>
      </c>
      <c r="I22" s="261">
        <v>4.7</v>
      </c>
      <c r="J22" s="261"/>
      <c r="K22" s="261">
        <v>0</v>
      </c>
      <c r="L22" s="261"/>
      <c r="M22" s="261"/>
      <c r="N22" s="261"/>
      <c r="O22" s="14"/>
    </row>
    <row r="23" spans="1:22" s="19" customFormat="1" ht="7.5" hidden="1" customHeight="1" x14ac:dyDescent="0.25">
      <c r="A23" s="24"/>
      <c r="B23" s="24"/>
      <c r="C23" s="24"/>
      <c r="D23" s="25"/>
      <c r="E23" s="25"/>
      <c r="F23" s="26"/>
      <c r="G23" s="260"/>
      <c r="H23" s="260"/>
      <c r="I23" s="260"/>
      <c r="J23" s="260"/>
      <c r="K23" s="260"/>
      <c r="L23" s="260"/>
      <c r="M23" s="260"/>
      <c r="N23" s="260"/>
      <c r="O23" s="27"/>
    </row>
    <row r="24" spans="1:22" s="19" customFormat="1" ht="87.75" customHeight="1" x14ac:dyDescent="0.25">
      <c r="A24" s="21" t="s">
        <v>35</v>
      </c>
      <c r="B24" s="21" t="s">
        <v>36</v>
      </c>
      <c r="C24" s="21" t="s">
        <v>37</v>
      </c>
      <c r="D24" s="16" t="s">
        <v>197</v>
      </c>
      <c r="E24" s="28"/>
      <c r="F24" s="20" t="s">
        <v>38</v>
      </c>
      <c r="G24" s="260"/>
      <c r="H24" s="260"/>
      <c r="I24" s="260"/>
      <c r="J24" s="260"/>
      <c r="K24" s="261">
        <v>112</v>
      </c>
      <c r="L24" s="261">
        <f>24+88</f>
        <v>112</v>
      </c>
      <c r="M24" s="261">
        <v>0</v>
      </c>
      <c r="N24" s="261">
        <f>M24/K24*100</f>
        <v>0</v>
      </c>
      <c r="O24" s="27"/>
    </row>
    <row r="25" spans="1:22" s="32" customFormat="1" ht="21" customHeight="1" x14ac:dyDescent="0.25">
      <c r="A25" s="29"/>
      <c r="B25" s="30"/>
      <c r="C25" s="30"/>
      <c r="D25" s="197" t="s">
        <v>39</v>
      </c>
      <c r="E25" s="197"/>
      <c r="F25" s="198"/>
      <c r="G25" s="262">
        <f>G16+G12+G24</f>
        <v>269.60000000000002</v>
      </c>
      <c r="H25" s="262">
        <f>H16+H12+H24</f>
        <v>99.711000000000013</v>
      </c>
      <c r="I25" s="262">
        <f>I16+I12+I24</f>
        <v>50.603359999999995</v>
      </c>
      <c r="J25" s="262">
        <f>I25/G25*100</f>
        <v>18.769792284866465</v>
      </c>
      <c r="K25" s="262">
        <f>K16+K12+K24</f>
        <v>112</v>
      </c>
      <c r="L25" s="262">
        <f>L16+L12+L24</f>
        <v>112</v>
      </c>
      <c r="M25" s="262">
        <f>M16+M12+M24</f>
        <v>0</v>
      </c>
      <c r="N25" s="259">
        <f>M25/K25*100</f>
        <v>0</v>
      </c>
      <c r="O25" s="31"/>
    </row>
    <row r="26" spans="1:22" s="37" customFormat="1" ht="39.75" customHeight="1" x14ac:dyDescent="0.2">
      <c r="A26" s="166" t="s">
        <v>40</v>
      </c>
      <c r="B26" s="167"/>
      <c r="C26" s="167"/>
      <c r="D26" s="163" t="s">
        <v>41</v>
      </c>
      <c r="E26" s="168"/>
      <c r="F26" s="168"/>
      <c r="G26" s="263"/>
      <c r="H26" s="263"/>
      <c r="I26" s="263"/>
      <c r="J26" s="263"/>
      <c r="K26" s="263"/>
      <c r="L26" s="263"/>
      <c r="M26" s="263"/>
      <c r="N26" s="263"/>
      <c r="O26" s="36"/>
      <c r="P26" s="36"/>
      <c r="Q26" s="36"/>
      <c r="R26" s="36"/>
      <c r="S26" s="36"/>
      <c r="T26" s="36"/>
      <c r="U26" s="36"/>
      <c r="V26" s="36">
        <f>E26+O26</f>
        <v>0</v>
      </c>
    </row>
    <row r="27" spans="1:22" s="39" customFormat="1" ht="46.5" customHeight="1" x14ac:dyDescent="0.2">
      <c r="A27" s="33" t="s">
        <v>42</v>
      </c>
      <c r="B27" s="34"/>
      <c r="C27" s="34"/>
      <c r="D27" s="156" t="s">
        <v>41</v>
      </c>
      <c r="E27" s="35"/>
      <c r="F27" s="35"/>
      <c r="G27" s="264"/>
      <c r="H27" s="264"/>
      <c r="I27" s="264"/>
      <c r="J27" s="264"/>
      <c r="K27" s="264"/>
      <c r="L27" s="264"/>
      <c r="M27" s="264"/>
      <c r="N27" s="264"/>
      <c r="O27" s="38"/>
      <c r="P27" s="38"/>
      <c r="Q27" s="38"/>
      <c r="R27" s="38"/>
      <c r="S27" s="38"/>
      <c r="T27" s="38"/>
      <c r="U27" s="38"/>
      <c r="V27" s="38"/>
    </row>
    <row r="28" spans="1:22" s="39" customFormat="1" ht="30" customHeight="1" x14ac:dyDescent="0.2">
      <c r="A28" s="33" t="s">
        <v>43</v>
      </c>
      <c r="B28" s="34" t="s">
        <v>44</v>
      </c>
      <c r="C28" s="34" t="s">
        <v>45</v>
      </c>
      <c r="D28" s="68" t="s">
        <v>46</v>
      </c>
      <c r="E28" s="35"/>
      <c r="F28" s="206" t="s">
        <v>39</v>
      </c>
      <c r="G28" s="262">
        <f>G30+G29</f>
        <v>209.5</v>
      </c>
      <c r="H28" s="262">
        <f>H30+H29</f>
        <v>40.5</v>
      </c>
      <c r="I28" s="262">
        <f>I30+I29</f>
        <v>23.5</v>
      </c>
      <c r="J28" s="262">
        <f>I28/G28*100</f>
        <v>11.217183770883054</v>
      </c>
      <c r="K28" s="262">
        <f>K30</f>
        <v>0</v>
      </c>
      <c r="L28" s="262"/>
      <c r="M28" s="262"/>
      <c r="N28" s="262"/>
      <c r="O28" s="38"/>
      <c r="P28" s="38"/>
      <c r="Q28" s="38"/>
      <c r="R28" s="38"/>
      <c r="S28" s="38"/>
      <c r="T28" s="38"/>
      <c r="U28" s="38"/>
      <c r="V28" s="38"/>
    </row>
    <row r="29" spans="1:22" s="39" customFormat="1" ht="80.25" customHeight="1" x14ac:dyDescent="0.2">
      <c r="A29" s="33"/>
      <c r="B29" s="34" t="s">
        <v>98</v>
      </c>
      <c r="C29" s="34"/>
      <c r="D29" s="45" t="s">
        <v>100</v>
      </c>
      <c r="E29" s="35"/>
      <c r="F29" s="254" t="s">
        <v>371</v>
      </c>
      <c r="G29" s="264">
        <v>37.5</v>
      </c>
      <c r="H29" s="264">
        <v>0</v>
      </c>
      <c r="I29" s="264">
        <v>0</v>
      </c>
      <c r="J29" s="264">
        <f t="shared" ref="J29:J30" si="3">I29/G29*100</f>
        <v>0</v>
      </c>
      <c r="K29" s="264"/>
      <c r="L29" s="264"/>
      <c r="M29" s="264"/>
      <c r="N29" s="264"/>
      <c r="O29" s="38"/>
      <c r="P29" s="38"/>
      <c r="Q29" s="38"/>
      <c r="R29" s="38"/>
      <c r="S29" s="38"/>
      <c r="T29" s="38"/>
      <c r="U29" s="38"/>
      <c r="V29" s="38"/>
    </row>
    <row r="30" spans="1:22" s="15" customFormat="1" ht="55.5" customHeight="1" x14ac:dyDescent="0.25">
      <c r="A30" s="29"/>
      <c r="B30" s="21" t="s">
        <v>47</v>
      </c>
      <c r="C30" s="21" t="s">
        <v>45</v>
      </c>
      <c r="D30" s="40" t="s">
        <v>46</v>
      </c>
      <c r="E30" s="41"/>
      <c r="F30" s="13" t="s">
        <v>48</v>
      </c>
      <c r="G30" s="261">
        <f>G31+G32+G33+G34+G35</f>
        <v>172</v>
      </c>
      <c r="H30" s="261">
        <f>H31+H32+H33+H34+H35</f>
        <v>40.5</v>
      </c>
      <c r="I30" s="261">
        <f>I31+I32+I33+I34+I35</f>
        <v>23.5</v>
      </c>
      <c r="J30" s="264">
        <f t="shared" si="3"/>
        <v>13.662790697674417</v>
      </c>
      <c r="K30" s="261">
        <f>K31+K32+K34+K35</f>
        <v>0</v>
      </c>
      <c r="L30" s="261"/>
      <c r="M30" s="261"/>
      <c r="N30" s="261"/>
      <c r="O30" s="14"/>
    </row>
    <row r="31" spans="1:22" s="15" customFormat="1" ht="27.75" customHeight="1" x14ac:dyDescent="0.25">
      <c r="A31" s="42"/>
      <c r="B31" s="21"/>
      <c r="C31" s="21"/>
      <c r="D31" s="43"/>
      <c r="E31" s="41"/>
      <c r="F31" s="43" t="s">
        <v>287</v>
      </c>
      <c r="G31" s="260">
        <v>30</v>
      </c>
      <c r="H31" s="260">
        <v>10</v>
      </c>
      <c r="I31" s="260">
        <v>9.5</v>
      </c>
      <c r="J31" s="260"/>
      <c r="K31" s="260"/>
      <c r="L31" s="260"/>
      <c r="M31" s="260"/>
      <c r="N31" s="260"/>
      <c r="O31" s="14"/>
    </row>
    <row r="32" spans="1:22" s="46" customFormat="1" ht="69.75" customHeight="1" x14ac:dyDescent="0.25">
      <c r="A32" s="24"/>
      <c r="B32" s="24"/>
      <c r="C32" s="24"/>
      <c r="D32" s="44"/>
      <c r="E32" s="44"/>
      <c r="F32" s="45" t="s">
        <v>49</v>
      </c>
      <c r="G32" s="260">
        <v>72</v>
      </c>
      <c r="H32" s="260">
        <v>10.5</v>
      </c>
      <c r="I32" s="260">
        <v>9</v>
      </c>
      <c r="J32" s="260"/>
      <c r="K32" s="260"/>
      <c r="L32" s="260"/>
      <c r="M32" s="260"/>
      <c r="N32" s="260"/>
      <c r="O32" s="27"/>
    </row>
    <row r="33" spans="1:15" s="46" customFormat="1" ht="20.25" customHeight="1" x14ac:dyDescent="0.25">
      <c r="A33" s="24"/>
      <c r="B33" s="24"/>
      <c r="C33" s="24"/>
      <c r="D33" s="44"/>
      <c r="E33" s="44"/>
      <c r="F33" s="45" t="s">
        <v>288</v>
      </c>
      <c r="G33" s="260">
        <v>15</v>
      </c>
      <c r="H33" s="260"/>
      <c r="I33" s="260"/>
      <c r="J33" s="260"/>
      <c r="K33" s="260"/>
      <c r="L33" s="260"/>
      <c r="M33" s="260"/>
      <c r="N33" s="260"/>
      <c r="O33" s="27"/>
    </row>
    <row r="34" spans="1:15" s="15" customFormat="1" ht="35.25" customHeight="1" x14ac:dyDescent="0.25">
      <c r="A34" s="29"/>
      <c r="B34" s="30"/>
      <c r="C34" s="30"/>
      <c r="D34" s="47"/>
      <c r="E34" s="47"/>
      <c r="F34" s="43" t="s">
        <v>289</v>
      </c>
      <c r="G34" s="260">
        <v>35</v>
      </c>
      <c r="H34" s="260">
        <v>15</v>
      </c>
      <c r="I34" s="260"/>
      <c r="J34" s="260"/>
      <c r="K34" s="261"/>
      <c r="L34" s="261"/>
      <c r="M34" s="261"/>
      <c r="N34" s="261"/>
      <c r="O34" s="14"/>
    </row>
    <row r="35" spans="1:15" s="15" customFormat="1" ht="20.25" customHeight="1" x14ac:dyDescent="0.25">
      <c r="A35" s="48"/>
      <c r="B35" s="49"/>
      <c r="C35" s="49"/>
      <c r="D35" s="47"/>
      <c r="E35" s="47"/>
      <c r="F35" s="43" t="s">
        <v>325</v>
      </c>
      <c r="G35" s="260">
        <v>20</v>
      </c>
      <c r="H35" s="260">
        <v>5</v>
      </c>
      <c r="I35" s="260">
        <v>5</v>
      </c>
      <c r="J35" s="260"/>
      <c r="K35" s="261"/>
      <c r="L35" s="261"/>
      <c r="M35" s="261"/>
      <c r="N35" s="261"/>
      <c r="O35" s="14"/>
    </row>
    <row r="36" spans="1:15" s="51" customFormat="1" ht="58.5" customHeight="1" x14ac:dyDescent="0.25">
      <c r="A36" s="169">
        <v>1100000</v>
      </c>
      <c r="B36" s="170"/>
      <c r="C36" s="170"/>
      <c r="D36" s="171" t="s">
        <v>51</v>
      </c>
      <c r="E36" s="172"/>
      <c r="F36" s="173"/>
      <c r="G36" s="265"/>
      <c r="H36" s="265"/>
      <c r="I36" s="265"/>
      <c r="J36" s="265"/>
      <c r="K36" s="266"/>
      <c r="L36" s="266"/>
      <c r="M36" s="266"/>
      <c r="N36" s="266"/>
      <c r="O36" s="14"/>
    </row>
    <row r="37" spans="1:15" s="53" customFormat="1" ht="60.75" customHeight="1" x14ac:dyDescent="0.25">
      <c r="A37" s="169">
        <v>1110000</v>
      </c>
      <c r="B37" s="170"/>
      <c r="C37" s="170"/>
      <c r="D37" s="174" t="s">
        <v>51</v>
      </c>
      <c r="E37" s="172"/>
      <c r="F37" s="173"/>
      <c r="G37" s="265"/>
      <c r="H37" s="265"/>
      <c r="I37" s="265"/>
      <c r="J37" s="265"/>
      <c r="K37" s="266"/>
      <c r="L37" s="266"/>
      <c r="M37" s="266"/>
      <c r="N37" s="266"/>
      <c r="O37" s="52"/>
    </row>
    <row r="38" spans="1:15" s="51" customFormat="1" ht="53.25" customHeight="1" x14ac:dyDescent="0.25">
      <c r="A38" s="48">
        <v>1113132</v>
      </c>
      <c r="B38" s="21" t="s">
        <v>52</v>
      </c>
      <c r="C38" s="21" t="s">
        <v>53</v>
      </c>
      <c r="D38" s="28" t="s">
        <v>54</v>
      </c>
      <c r="E38" s="54"/>
      <c r="F38" s="13" t="s">
        <v>55</v>
      </c>
      <c r="G38" s="261">
        <f>G39</f>
        <v>10</v>
      </c>
      <c r="H38" s="261">
        <f>H39</f>
        <v>4.2</v>
      </c>
      <c r="I38" s="261">
        <f>I39</f>
        <v>1.5</v>
      </c>
      <c r="J38" s="261">
        <f>I38/G38*100</f>
        <v>15</v>
      </c>
      <c r="K38" s="261">
        <f>K39</f>
        <v>0</v>
      </c>
      <c r="L38" s="261"/>
      <c r="M38" s="261"/>
      <c r="N38" s="261"/>
      <c r="O38" s="14"/>
    </row>
    <row r="39" spans="1:15" s="51" customFormat="1" ht="37.5" customHeight="1" x14ac:dyDescent="0.25">
      <c r="A39" s="42"/>
      <c r="B39" s="21"/>
      <c r="C39" s="21"/>
      <c r="D39" s="43"/>
      <c r="E39" s="54"/>
      <c r="F39" s="43" t="s">
        <v>56</v>
      </c>
      <c r="G39" s="260">
        <v>10</v>
      </c>
      <c r="H39" s="260">
        <v>4.2</v>
      </c>
      <c r="I39" s="260">
        <v>1.5</v>
      </c>
      <c r="J39" s="260"/>
      <c r="K39" s="260"/>
      <c r="L39" s="260"/>
      <c r="M39" s="260"/>
      <c r="N39" s="260"/>
      <c r="O39" s="14"/>
    </row>
    <row r="40" spans="1:15" s="56" customFormat="1" ht="24.75" customHeight="1" x14ac:dyDescent="0.25">
      <c r="A40" s="24"/>
      <c r="B40" s="24"/>
      <c r="C40" s="24"/>
      <c r="D40" s="197" t="s">
        <v>50</v>
      </c>
      <c r="E40" s="199"/>
      <c r="F40" s="200"/>
      <c r="G40" s="262">
        <f>G38</f>
        <v>10</v>
      </c>
      <c r="H40" s="262">
        <f>H38</f>
        <v>4.2</v>
      </c>
      <c r="I40" s="262">
        <f t="shared" ref="I40:J40" si="4">I38</f>
        <v>1.5</v>
      </c>
      <c r="J40" s="262">
        <f t="shared" si="4"/>
        <v>15</v>
      </c>
      <c r="K40" s="262">
        <f>K38</f>
        <v>0</v>
      </c>
      <c r="L40" s="262"/>
      <c r="M40" s="262"/>
      <c r="N40" s="262"/>
      <c r="O40" s="55"/>
    </row>
    <row r="41" spans="1:15" s="19" customFormat="1" ht="78" customHeight="1" x14ac:dyDescent="0.25">
      <c r="A41" s="176" t="s">
        <v>57</v>
      </c>
      <c r="B41" s="177"/>
      <c r="C41" s="177"/>
      <c r="D41" s="163" t="s">
        <v>58</v>
      </c>
      <c r="E41" s="178"/>
      <c r="F41" s="179"/>
      <c r="G41" s="267"/>
      <c r="H41" s="267"/>
      <c r="I41" s="267"/>
      <c r="J41" s="267"/>
      <c r="K41" s="267"/>
      <c r="L41" s="267"/>
      <c r="M41" s="267"/>
      <c r="N41" s="267"/>
      <c r="O41" s="27"/>
    </row>
    <row r="42" spans="1:15" s="19" customFormat="1" ht="84.75" customHeight="1" x14ac:dyDescent="0.25">
      <c r="A42" s="176" t="s">
        <v>59</v>
      </c>
      <c r="B42" s="177"/>
      <c r="C42" s="177"/>
      <c r="D42" s="175" t="s">
        <v>58</v>
      </c>
      <c r="E42" s="178"/>
      <c r="F42" s="179"/>
      <c r="G42" s="267"/>
      <c r="H42" s="267"/>
      <c r="I42" s="267"/>
      <c r="J42" s="267"/>
      <c r="K42" s="267"/>
      <c r="L42" s="267"/>
      <c r="M42" s="267"/>
      <c r="N42" s="267"/>
      <c r="O42" s="27"/>
    </row>
    <row r="43" spans="1:15" s="19" customFormat="1" ht="42" customHeight="1" x14ac:dyDescent="0.25">
      <c r="A43" s="49" t="s">
        <v>60</v>
      </c>
      <c r="B43" s="24" t="s">
        <v>61</v>
      </c>
      <c r="C43" s="24"/>
      <c r="D43" s="155" t="s">
        <v>62</v>
      </c>
      <c r="E43" s="57"/>
      <c r="F43" s="58"/>
      <c r="G43" s="261">
        <f>G44+G45+G49+G50+G51</f>
        <v>554.9</v>
      </c>
      <c r="H43" s="261">
        <f>H44+H45+H49+H50+H51</f>
        <v>374.6</v>
      </c>
      <c r="I43" s="261">
        <f>I44+I45+I49+I50+I51</f>
        <v>120.8</v>
      </c>
      <c r="J43" s="261">
        <f>I43/G43*100</f>
        <v>21.769688232113896</v>
      </c>
      <c r="K43" s="261">
        <f>K44+K45+K49+K50+K51</f>
        <v>0</v>
      </c>
      <c r="L43" s="261"/>
      <c r="M43" s="261"/>
      <c r="N43" s="261"/>
      <c r="O43" s="27"/>
    </row>
    <row r="44" spans="1:15" s="19" customFormat="1" ht="83.25" customHeight="1" x14ac:dyDescent="0.25">
      <c r="A44" s="21" t="s">
        <v>63</v>
      </c>
      <c r="B44" s="21" t="s">
        <v>64</v>
      </c>
      <c r="C44" s="21" t="s">
        <v>65</v>
      </c>
      <c r="D44" s="16" t="s">
        <v>66</v>
      </c>
      <c r="E44" s="57"/>
      <c r="F44" s="59" t="s">
        <v>67</v>
      </c>
      <c r="G44" s="261">
        <v>149.5</v>
      </c>
      <c r="H44" s="261">
        <v>149.5</v>
      </c>
      <c r="I44" s="261"/>
      <c r="J44" s="261"/>
      <c r="K44" s="261"/>
      <c r="L44" s="261"/>
      <c r="M44" s="261"/>
      <c r="N44" s="261"/>
      <c r="O44" s="27" t="e">
        <f>#REF!+#REF!+#REF!+#REF!+#REF!+#REF!+#REF!+#REF!+#REF!</f>
        <v>#REF!</v>
      </c>
    </row>
    <row r="45" spans="1:15" s="19" customFormat="1" ht="40.5" customHeight="1" x14ac:dyDescent="0.25">
      <c r="A45" s="24" t="s">
        <v>68</v>
      </c>
      <c r="B45" s="24" t="s">
        <v>69</v>
      </c>
      <c r="C45" s="24" t="s">
        <v>70</v>
      </c>
      <c r="D45" s="16" t="s">
        <v>71</v>
      </c>
      <c r="E45" s="57"/>
      <c r="F45" s="59" t="s">
        <v>72</v>
      </c>
      <c r="G45" s="261">
        <f>G46+G47+G48</f>
        <v>75.400000000000006</v>
      </c>
      <c r="H45" s="261">
        <f>H46+H47+H48</f>
        <v>51.1</v>
      </c>
      <c r="I45" s="261">
        <f>I46+I47+I48</f>
        <v>1.3</v>
      </c>
      <c r="J45" s="261">
        <f>I45/G45*100</f>
        <v>1.7241379310344827</v>
      </c>
      <c r="K45" s="261">
        <f>K46+K47+K48</f>
        <v>0</v>
      </c>
      <c r="L45" s="261"/>
      <c r="M45" s="261"/>
      <c r="N45" s="261"/>
      <c r="O45" s="27"/>
    </row>
    <row r="46" spans="1:15" s="51" customFormat="1" ht="36" customHeight="1" x14ac:dyDescent="0.25">
      <c r="A46" s="21"/>
      <c r="B46" s="21"/>
      <c r="C46" s="21"/>
      <c r="D46" s="28"/>
      <c r="E46" s="28"/>
      <c r="F46" s="43" t="s">
        <v>73</v>
      </c>
      <c r="G46" s="260">
        <v>15</v>
      </c>
      <c r="H46" s="260">
        <v>6</v>
      </c>
      <c r="I46" s="260">
        <v>0</v>
      </c>
      <c r="J46" s="260"/>
      <c r="K46" s="260"/>
      <c r="L46" s="260"/>
      <c r="M46" s="260"/>
      <c r="N46" s="260"/>
      <c r="O46" s="14"/>
    </row>
    <row r="47" spans="1:15" s="51" customFormat="1" ht="81.75" customHeight="1" x14ac:dyDescent="0.25">
      <c r="A47" s="42"/>
      <c r="B47" s="21"/>
      <c r="C47" s="21"/>
      <c r="D47" s="43"/>
      <c r="E47" s="28"/>
      <c r="F47" s="43" t="s">
        <v>74</v>
      </c>
      <c r="G47" s="260">
        <v>40</v>
      </c>
      <c r="H47" s="260">
        <v>40</v>
      </c>
      <c r="I47" s="260">
        <v>0</v>
      </c>
      <c r="J47" s="260"/>
      <c r="K47" s="260"/>
      <c r="L47" s="260"/>
      <c r="M47" s="260"/>
      <c r="N47" s="260"/>
      <c r="O47" s="14"/>
    </row>
    <row r="48" spans="1:15" s="19" customFormat="1" ht="33" customHeight="1" x14ac:dyDescent="0.25">
      <c r="A48" s="24"/>
      <c r="B48" s="24"/>
      <c r="C48" s="24"/>
      <c r="D48" s="57"/>
      <c r="E48" s="57"/>
      <c r="F48" s="60" t="s">
        <v>75</v>
      </c>
      <c r="G48" s="260">
        <v>20.399999999999999</v>
      </c>
      <c r="H48" s="260">
        <v>5.0999999999999996</v>
      </c>
      <c r="I48" s="260">
        <v>1.3</v>
      </c>
      <c r="J48" s="260"/>
      <c r="K48" s="260"/>
      <c r="L48" s="260"/>
      <c r="M48" s="260"/>
      <c r="N48" s="260"/>
      <c r="O48" s="27"/>
    </row>
    <row r="49" spans="1:15" s="51" customFormat="1" ht="89.25" customHeight="1" x14ac:dyDescent="0.25">
      <c r="A49" s="21" t="s">
        <v>76</v>
      </c>
      <c r="B49" s="21" t="s">
        <v>77</v>
      </c>
      <c r="C49" s="21" t="s">
        <v>70</v>
      </c>
      <c r="D49" s="28" t="s">
        <v>78</v>
      </c>
      <c r="E49" s="28"/>
      <c r="F49" s="60" t="s">
        <v>79</v>
      </c>
      <c r="G49" s="261">
        <v>30</v>
      </c>
      <c r="H49" s="261">
        <v>9</v>
      </c>
      <c r="I49" s="261">
        <v>5</v>
      </c>
      <c r="J49" s="261">
        <f t="shared" ref="J49:J57" si="5">I49/G49*100</f>
        <v>16.666666666666664</v>
      </c>
      <c r="K49" s="261">
        <v>0</v>
      </c>
      <c r="L49" s="261"/>
      <c r="M49" s="261"/>
      <c r="N49" s="261"/>
      <c r="O49" s="14"/>
    </row>
    <row r="50" spans="1:15" s="51" customFormat="1" ht="78.75" customHeight="1" x14ac:dyDescent="0.25">
      <c r="A50" s="21" t="s">
        <v>80</v>
      </c>
      <c r="B50" s="21" t="s">
        <v>81</v>
      </c>
      <c r="C50" s="21" t="s">
        <v>70</v>
      </c>
      <c r="D50" s="28" t="s">
        <v>82</v>
      </c>
      <c r="E50" s="28"/>
      <c r="F50" s="59" t="s">
        <v>83</v>
      </c>
      <c r="G50" s="261">
        <v>150</v>
      </c>
      <c r="H50" s="261">
        <v>90</v>
      </c>
      <c r="I50" s="261">
        <v>39.5</v>
      </c>
      <c r="J50" s="261">
        <f t="shared" si="5"/>
        <v>26.333333333333332</v>
      </c>
      <c r="K50" s="261"/>
      <c r="L50" s="261"/>
      <c r="M50" s="261"/>
      <c r="N50" s="261"/>
      <c r="O50" s="14"/>
    </row>
    <row r="51" spans="1:15" s="19" customFormat="1" ht="71.25" customHeight="1" x14ac:dyDescent="0.25">
      <c r="A51" s="21" t="s">
        <v>84</v>
      </c>
      <c r="B51" s="21" t="s">
        <v>85</v>
      </c>
      <c r="C51" s="21" t="s">
        <v>70</v>
      </c>
      <c r="D51" s="28" t="s">
        <v>86</v>
      </c>
      <c r="E51" s="57"/>
      <c r="F51" s="61" t="s">
        <v>87</v>
      </c>
      <c r="G51" s="261">
        <v>150</v>
      </c>
      <c r="H51" s="261">
        <v>75</v>
      </c>
      <c r="I51" s="261">
        <v>75</v>
      </c>
      <c r="J51" s="261">
        <f t="shared" si="5"/>
        <v>50</v>
      </c>
      <c r="K51" s="261"/>
      <c r="L51" s="261"/>
      <c r="M51" s="261"/>
      <c r="N51" s="261"/>
      <c r="O51" s="27"/>
    </row>
    <row r="52" spans="1:15" s="19" customFormat="1" ht="33.75" customHeight="1" x14ac:dyDescent="0.25">
      <c r="A52" s="207" t="s">
        <v>88</v>
      </c>
      <c r="B52" s="207" t="s">
        <v>89</v>
      </c>
      <c r="C52" s="207" t="s">
        <v>70</v>
      </c>
      <c r="D52" s="208" t="s">
        <v>90</v>
      </c>
      <c r="E52" s="203"/>
      <c r="F52" s="209"/>
      <c r="G52" s="268">
        <f>G53+G54+G55+G56</f>
        <v>487.75</v>
      </c>
      <c r="H52" s="268">
        <f>H53+H54+H55+H56</f>
        <v>138</v>
      </c>
      <c r="I52" s="268">
        <f>I53+I54+I55+I56</f>
        <v>73.400000000000006</v>
      </c>
      <c r="J52" s="268">
        <f t="shared" si="5"/>
        <v>15.048692977960021</v>
      </c>
      <c r="K52" s="268">
        <f>K53+K54+K55+K56</f>
        <v>0</v>
      </c>
      <c r="L52" s="268"/>
      <c r="M52" s="268"/>
      <c r="N52" s="268"/>
      <c r="O52" s="27"/>
    </row>
    <row r="53" spans="1:15" s="19" customFormat="1" ht="55.5" customHeight="1" x14ac:dyDescent="0.25">
      <c r="A53" s="21" t="s">
        <v>91</v>
      </c>
      <c r="B53" s="42">
        <v>2221</v>
      </c>
      <c r="C53" s="21" t="s">
        <v>70</v>
      </c>
      <c r="D53" s="28"/>
      <c r="E53" s="28"/>
      <c r="F53" s="13" t="s">
        <v>280</v>
      </c>
      <c r="G53" s="261">
        <v>130</v>
      </c>
      <c r="H53" s="261">
        <v>32.5</v>
      </c>
      <c r="I53" s="261">
        <v>22.2</v>
      </c>
      <c r="J53" s="261">
        <f t="shared" si="5"/>
        <v>17.076923076923077</v>
      </c>
      <c r="K53" s="260"/>
      <c r="L53" s="260"/>
      <c r="M53" s="260"/>
      <c r="N53" s="260"/>
      <c r="O53" s="27"/>
    </row>
    <row r="54" spans="1:15" s="19" customFormat="1" ht="105" customHeight="1" x14ac:dyDescent="0.25">
      <c r="A54" s="21" t="s">
        <v>92</v>
      </c>
      <c r="B54" s="42">
        <v>2222</v>
      </c>
      <c r="C54" s="21" t="s">
        <v>70</v>
      </c>
      <c r="D54" s="28"/>
      <c r="E54" s="28"/>
      <c r="F54" s="62" t="s">
        <v>93</v>
      </c>
      <c r="G54" s="261">
        <v>72</v>
      </c>
      <c r="H54" s="261">
        <v>18</v>
      </c>
      <c r="I54" s="261">
        <v>5.8</v>
      </c>
      <c r="J54" s="261">
        <f t="shared" si="5"/>
        <v>8.0555555555555554</v>
      </c>
      <c r="K54" s="261"/>
      <c r="L54" s="261"/>
      <c r="M54" s="261"/>
      <c r="N54" s="261"/>
      <c r="O54" s="27"/>
    </row>
    <row r="55" spans="1:15" s="19" customFormat="1" ht="86.25" customHeight="1" x14ac:dyDescent="0.25">
      <c r="A55" s="21" t="s">
        <v>94</v>
      </c>
      <c r="B55" s="42">
        <v>2223</v>
      </c>
      <c r="C55" s="21" t="s">
        <v>70</v>
      </c>
      <c r="D55" s="28"/>
      <c r="E55" s="28"/>
      <c r="F55" s="43" t="s">
        <v>95</v>
      </c>
      <c r="G55" s="261">
        <v>226</v>
      </c>
      <c r="H55" s="261">
        <v>57.5</v>
      </c>
      <c r="I55" s="261">
        <v>26.4</v>
      </c>
      <c r="J55" s="261">
        <f t="shared" si="5"/>
        <v>11.68141592920354</v>
      </c>
      <c r="K55" s="261"/>
      <c r="L55" s="261"/>
      <c r="M55" s="261"/>
      <c r="N55" s="261"/>
      <c r="O55" s="27"/>
    </row>
    <row r="56" spans="1:15" s="51" customFormat="1" ht="69.75" customHeight="1" x14ac:dyDescent="0.25">
      <c r="A56" s="42">
        <v>1512224</v>
      </c>
      <c r="B56" s="21" t="s">
        <v>96</v>
      </c>
      <c r="C56" s="21" t="s">
        <v>70</v>
      </c>
      <c r="D56" s="16"/>
      <c r="E56" s="28"/>
      <c r="F56" s="13" t="s">
        <v>97</v>
      </c>
      <c r="G56" s="261">
        <v>59.75</v>
      </c>
      <c r="H56" s="261">
        <v>30</v>
      </c>
      <c r="I56" s="261">
        <v>19</v>
      </c>
      <c r="J56" s="261">
        <f t="shared" si="5"/>
        <v>31.799163179916317</v>
      </c>
      <c r="K56" s="261"/>
      <c r="L56" s="261"/>
      <c r="M56" s="261"/>
      <c r="N56" s="261"/>
      <c r="O56" s="14"/>
    </row>
    <row r="57" spans="1:15" s="64" customFormat="1" ht="85.5" customHeight="1" x14ac:dyDescent="0.25">
      <c r="A57" s="42">
        <v>1513240</v>
      </c>
      <c r="B57" s="21" t="s">
        <v>98</v>
      </c>
      <c r="C57" s="21" t="s">
        <v>99</v>
      </c>
      <c r="D57" s="45" t="s">
        <v>100</v>
      </c>
      <c r="E57" s="63" t="s">
        <v>100</v>
      </c>
      <c r="F57" s="45" t="s">
        <v>101</v>
      </c>
      <c r="G57" s="261">
        <f>50+23.5</f>
        <v>73.5</v>
      </c>
      <c r="H57" s="261">
        <v>8.5399999999999991</v>
      </c>
      <c r="I57" s="265">
        <v>7.7209500000000002</v>
      </c>
      <c r="J57" s="261">
        <f t="shared" si="5"/>
        <v>10.50469387755102</v>
      </c>
      <c r="K57" s="261"/>
      <c r="L57" s="261"/>
      <c r="M57" s="261"/>
      <c r="N57" s="261"/>
      <c r="O57" s="27"/>
    </row>
    <row r="58" spans="1:15" s="65" customFormat="1" ht="36" customHeight="1" x14ac:dyDescent="0.25">
      <c r="A58" s="48">
        <v>1513190</v>
      </c>
      <c r="B58" s="49" t="s">
        <v>102</v>
      </c>
      <c r="C58" s="49" t="s">
        <v>103</v>
      </c>
      <c r="D58" s="47"/>
      <c r="E58" s="47"/>
      <c r="F58" s="13" t="s">
        <v>281</v>
      </c>
      <c r="G58" s="261">
        <f>G59+G60+G63</f>
        <v>384.45</v>
      </c>
      <c r="H58" s="261">
        <f t="shared" ref="H58:N58" si="6">H59+H60+H63</f>
        <v>82.790999999999997</v>
      </c>
      <c r="I58" s="261">
        <f t="shared" si="6"/>
        <v>27.696000000000002</v>
      </c>
      <c r="J58" s="261">
        <f t="shared" si="6"/>
        <v>0</v>
      </c>
      <c r="K58" s="261">
        <f t="shared" si="6"/>
        <v>500</v>
      </c>
      <c r="L58" s="261">
        <f t="shared" si="6"/>
        <v>0</v>
      </c>
      <c r="M58" s="261">
        <f t="shared" si="6"/>
        <v>0</v>
      </c>
      <c r="N58" s="261">
        <f t="shared" si="6"/>
        <v>0</v>
      </c>
      <c r="O58" s="14"/>
    </row>
    <row r="59" spans="1:15" s="65" customFormat="1" ht="115.5" customHeight="1" x14ac:dyDescent="0.25">
      <c r="A59" s="42">
        <v>1513190</v>
      </c>
      <c r="B59" s="21" t="s">
        <v>102</v>
      </c>
      <c r="C59" s="21" t="s">
        <v>103</v>
      </c>
      <c r="D59" s="16" t="s">
        <v>104</v>
      </c>
      <c r="E59" s="47"/>
      <c r="F59" s="43" t="s">
        <v>300</v>
      </c>
      <c r="G59" s="260">
        <v>150</v>
      </c>
      <c r="H59" s="260">
        <v>37.5</v>
      </c>
      <c r="I59" s="260">
        <v>9.7059999999999995</v>
      </c>
      <c r="J59" s="260"/>
      <c r="K59" s="260"/>
      <c r="L59" s="260"/>
      <c r="M59" s="260"/>
      <c r="N59" s="260"/>
      <c r="O59" s="14"/>
    </row>
    <row r="60" spans="1:15" s="65" customFormat="1" ht="37.5" customHeight="1" x14ac:dyDescent="0.25">
      <c r="A60" s="42">
        <v>1513200</v>
      </c>
      <c r="B60" s="21" t="s">
        <v>105</v>
      </c>
      <c r="C60" s="21"/>
      <c r="D60" s="68" t="s">
        <v>106</v>
      </c>
      <c r="E60" s="47"/>
      <c r="F60" s="43"/>
      <c r="G60" s="260">
        <f>G61+G62</f>
        <v>234.45</v>
      </c>
      <c r="H60" s="260">
        <f>H61+H62</f>
        <v>45.290999999999997</v>
      </c>
      <c r="I60" s="260">
        <f>I61+I62</f>
        <v>17.990000000000002</v>
      </c>
      <c r="J60" s="260"/>
      <c r="K60" s="260">
        <f>K61+K62</f>
        <v>0</v>
      </c>
      <c r="L60" s="260"/>
      <c r="M60" s="260"/>
      <c r="N60" s="260"/>
      <c r="O60" s="14"/>
    </row>
    <row r="61" spans="1:15" s="65" customFormat="1" ht="133.5" customHeight="1" x14ac:dyDescent="0.25">
      <c r="A61" s="42">
        <v>1513201</v>
      </c>
      <c r="B61" s="21" t="s">
        <v>107</v>
      </c>
      <c r="C61" s="21" t="s">
        <v>108</v>
      </c>
      <c r="D61" s="16" t="s">
        <v>109</v>
      </c>
      <c r="E61" s="13"/>
      <c r="F61" s="43" t="s">
        <v>110</v>
      </c>
      <c r="G61" s="260">
        <v>200</v>
      </c>
      <c r="H61" s="260">
        <v>36</v>
      </c>
      <c r="I61" s="260">
        <v>10</v>
      </c>
      <c r="J61" s="260"/>
      <c r="K61" s="260"/>
      <c r="L61" s="260"/>
      <c r="M61" s="260"/>
      <c r="N61" s="260"/>
      <c r="O61" s="14"/>
    </row>
    <row r="62" spans="1:15" s="10" customFormat="1" ht="65.25" customHeight="1" x14ac:dyDescent="0.25">
      <c r="A62" s="42">
        <v>1513202</v>
      </c>
      <c r="B62" s="42">
        <v>3202</v>
      </c>
      <c r="C62" s="42">
        <v>1030</v>
      </c>
      <c r="D62" s="16" t="s">
        <v>111</v>
      </c>
      <c r="E62" s="66"/>
      <c r="F62" s="43" t="s">
        <v>112</v>
      </c>
      <c r="G62" s="269">
        <v>34.450000000000003</v>
      </c>
      <c r="H62" s="260">
        <v>9.2910000000000004</v>
      </c>
      <c r="I62" s="260">
        <v>7.99</v>
      </c>
      <c r="J62" s="260"/>
      <c r="K62" s="260"/>
      <c r="L62" s="260"/>
      <c r="M62" s="260"/>
      <c r="N62" s="260"/>
      <c r="O62" s="27"/>
    </row>
    <row r="63" spans="1:15" s="10" customFormat="1" ht="101.25" customHeight="1" x14ac:dyDescent="0.3">
      <c r="A63" s="233" t="s">
        <v>359</v>
      </c>
      <c r="B63" s="233" t="s">
        <v>360</v>
      </c>
      <c r="C63" s="233" t="s">
        <v>103</v>
      </c>
      <c r="D63" s="238" t="s">
        <v>361</v>
      </c>
      <c r="E63" s="66"/>
      <c r="F63" s="43" t="s">
        <v>358</v>
      </c>
      <c r="G63" s="260"/>
      <c r="H63" s="260"/>
      <c r="I63" s="260"/>
      <c r="J63" s="260"/>
      <c r="K63" s="260">
        <v>500</v>
      </c>
      <c r="L63" s="260">
        <v>0</v>
      </c>
      <c r="M63" s="260">
        <v>0</v>
      </c>
      <c r="N63" s="260"/>
      <c r="O63" s="27"/>
    </row>
    <row r="64" spans="1:15" s="65" customFormat="1" ht="38.25" customHeight="1" x14ac:dyDescent="0.25">
      <c r="A64" s="21"/>
      <c r="B64" s="21"/>
      <c r="C64" s="21"/>
      <c r="D64" s="43"/>
      <c r="E64" s="43"/>
      <c r="F64" s="43" t="s">
        <v>113</v>
      </c>
      <c r="G64" s="261">
        <f>G65+G71+G73+G74+G77</f>
        <v>4330.45</v>
      </c>
      <c r="H64" s="261">
        <f>H65+H71+H73+H74+H77</f>
        <v>707.46900000000005</v>
      </c>
      <c r="I64" s="261">
        <f>I65+I71+I73+I74+I77</f>
        <v>505.54999999999995</v>
      </c>
      <c r="J64" s="261"/>
      <c r="K64" s="261"/>
      <c r="L64" s="261"/>
      <c r="M64" s="261"/>
      <c r="N64" s="261"/>
      <c r="O64" s="14"/>
    </row>
    <row r="65" spans="1:15" s="65" customFormat="1" ht="275.25" customHeight="1" x14ac:dyDescent="0.25">
      <c r="A65" s="11" t="s">
        <v>114</v>
      </c>
      <c r="B65" s="11" t="s">
        <v>115</v>
      </c>
      <c r="C65" s="11" t="s">
        <v>108</v>
      </c>
      <c r="D65" s="67" t="s">
        <v>116</v>
      </c>
      <c r="E65" s="156" t="s">
        <v>116</v>
      </c>
      <c r="F65" s="43"/>
      <c r="G65" s="261">
        <f>G69+G70+G66+G67+G68</f>
        <v>1131</v>
      </c>
      <c r="H65" s="261">
        <f>H69+H70+H66+H67+H68</f>
        <v>176.209</v>
      </c>
      <c r="I65" s="261">
        <f>I69+I70+I66+I67+I68</f>
        <v>144.34899999999999</v>
      </c>
      <c r="J65" s="261"/>
      <c r="K65" s="261"/>
      <c r="L65" s="261"/>
      <c r="M65" s="261"/>
      <c r="N65" s="261"/>
      <c r="O65" s="14"/>
    </row>
    <row r="66" spans="1:15" s="228" customFormat="1" ht="54" customHeight="1" x14ac:dyDescent="0.25">
      <c r="A66" s="42">
        <v>1513031</v>
      </c>
      <c r="B66" s="21" t="s">
        <v>326</v>
      </c>
      <c r="C66" s="21"/>
      <c r="D66" s="28"/>
      <c r="E66" s="47"/>
      <c r="F66" s="43" t="s">
        <v>329</v>
      </c>
      <c r="G66" s="260">
        <v>75</v>
      </c>
      <c r="H66" s="260">
        <v>0</v>
      </c>
      <c r="I66" s="260">
        <v>0</v>
      </c>
      <c r="J66" s="260"/>
      <c r="K66" s="260"/>
      <c r="L66" s="260"/>
      <c r="M66" s="260"/>
      <c r="N66" s="260"/>
      <c r="O66" s="52"/>
    </row>
    <row r="67" spans="1:15" s="228" customFormat="1" ht="54" customHeight="1" x14ac:dyDescent="0.25">
      <c r="A67" s="42">
        <v>1513033</v>
      </c>
      <c r="B67" s="21" t="s">
        <v>327</v>
      </c>
      <c r="C67" s="21"/>
      <c r="D67" s="28"/>
      <c r="E67" s="47"/>
      <c r="F67" s="43" t="s">
        <v>330</v>
      </c>
      <c r="G67" s="260">
        <v>36</v>
      </c>
      <c r="H67" s="260">
        <v>6</v>
      </c>
      <c r="I67" s="260">
        <v>4.8099999999999996</v>
      </c>
      <c r="J67" s="260"/>
      <c r="K67" s="260"/>
      <c r="L67" s="260"/>
      <c r="M67" s="260"/>
      <c r="N67" s="260"/>
      <c r="O67" s="52"/>
    </row>
    <row r="68" spans="1:15" s="228" customFormat="1" ht="54" customHeight="1" x14ac:dyDescent="0.25">
      <c r="A68" s="42">
        <v>1513034</v>
      </c>
      <c r="B68" s="21" t="s">
        <v>328</v>
      </c>
      <c r="C68" s="21"/>
      <c r="D68" s="28"/>
      <c r="E68" s="47"/>
      <c r="F68" s="43" t="s">
        <v>331</v>
      </c>
      <c r="G68" s="260">
        <v>240</v>
      </c>
      <c r="H68" s="260">
        <v>88.009</v>
      </c>
      <c r="I68" s="260">
        <v>70.021000000000001</v>
      </c>
      <c r="J68" s="260"/>
      <c r="K68" s="260"/>
      <c r="L68" s="260"/>
      <c r="M68" s="260"/>
      <c r="N68" s="260"/>
      <c r="O68" s="52"/>
    </row>
    <row r="69" spans="1:15" s="228" customFormat="1" ht="54" customHeight="1" x14ac:dyDescent="0.25">
      <c r="A69" s="42">
        <v>1513035</v>
      </c>
      <c r="B69" s="21" t="s">
        <v>117</v>
      </c>
      <c r="C69" s="21" t="s">
        <v>118</v>
      </c>
      <c r="D69" s="28" t="s">
        <v>119</v>
      </c>
      <c r="E69" s="47"/>
      <c r="F69" s="43" t="s">
        <v>120</v>
      </c>
      <c r="G69" s="260">
        <v>750</v>
      </c>
      <c r="H69" s="260">
        <v>75</v>
      </c>
      <c r="I69" s="260">
        <v>66.254000000000005</v>
      </c>
      <c r="J69" s="260"/>
      <c r="K69" s="260"/>
      <c r="L69" s="260"/>
      <c r="M69" s="260"/>
      <c r="N69" s="260"/>
      <c r="O69" s="52"/>
    </row>
    <row r="70" spans="1:15" s="228" customFormat="1" ht="54" customHeight="1" x14ac:dyDescent="0.25">
      <c r="A70" s="42">
        <v>1513037</v>
      </c>
      <c r="B70" s="21" t="s">
        <v>121</v>
      </c>
      <c r="C70" s="21" t="s">
        <v>118</v>
      </c>
      <c r="D70" s="28" t="s">
        <v>122</v>
      </c>
      <c r="E70" s="47"/>
      <c r="F70" s="43" t="s">
        <v>123</v>
      </c>
      <c r="G70" s="260">
        <v>30</v>
      </c>
      <c r="H70" s="260">
        <v>7.2</v>
      </c>
      <c r="I70" s="260">
        <v>3.2639999999999998</v>
      </c>
      <c r="J70" s="260"/>
      <c r="K70" s="260"/>
      <c r="L70" s="260"/>
      <c r="M70" s="260"/>
      <c r="N70" s="260"/>
      <c r="O70" s="52"/>
    </row>
    <row r="71" spans="1:15" s="65" customFormat="1" ht="120.75" customHeight="1" x14ac:dyDescent="0.25">
      <c r="A71" s="42">
        <v>1513180</v>
      </c>
      <c r="B71" s="21" t="s">
        <v>124</v>
      </c>
      <c r="C71" s="21"/>
      <c r="D71" s="67" t="s">
        <v>125</v>
      </c>
      <c r="E71" s="47"/>
      <c r="F71" s="43"/>
      <c r="G71" s="260">
        <f>G72</f>
        <v>200</v>
      </c>
      <c r="H71" s="260">
        <f t="shared" ref="H71:I71" si="7">H72</f>
        <v>47</v>
      </c>
      <c r="I71" s="260">
        <f t="shared" si="7"/>
        <v>34.353999999999999</v>
      </c>
      <c r="J71" s="260"/>
      <c r="K71" s="260">
        <f>K72</f>
        <v>0</v>
      </c>
      <c r="L71" s="260"/>
      <c r="M71" s="260"/>
      <c r="N71" s="260"/>
      <c r="O71" s="14"/>
    </row>
    <row r="72" spans="1:15" s="10" customFormat="1" ht="101.25" customHeight="1" x14ac:dyDescent="0.25">
      <c r="A72" s="21" t="s">
        <v>126</v>
      </c>
      <c r="B72" s="21" t="s">
        <v>127</v>
      </c>
      <c r="C72" s="21" t="s">
        <v>128</v>
      </c>
      <c r="D72" s="43" t="s">
        <v>129</v>
      </c>
      <c r="E72" s="44"/>
      <c r="F72" s="45" t="s">
        <v>130</v>
      </c>
      <c r="G72" s="260">
        <v>200</v>
      </c>
      <c r="H72" s="260">
        <v>47</v>
      </c>
      <c r="I72" s="260">
        <v>34.353999999999999</v>
      </c>
      <c r="J72" s="260"/>
      <c r="K72" s="260"/>
      <c r="L72" s="260"/>
      <c r="M72" s="260"/>
      <c r="N72" s="260"/>
      <c r="O72" s="27"/>
    </row>
    <row r="73" spans="1:15" s="64" customFormat="1" ht="114" customHeight="1" x14ac:dyDescent="0.25">
      <c r="A73" s="21" t="s">
        <v>131</v>
      </c>
      <c r="B73" s="21" t="s">
        <v>102</v>
      </c>
      <c r="C73" s="21" t="s">
        <v>103</v>
      </c>
      <c r="D73" s="16" t="s">
        <v>104</v>
      </c>
      <c r="E73" s="44"/>
      <c r="F73" s="45" t="s">
        <v>132</v>
      </c>
      <c r="G73" s="260">
        <v>75</v>
      </c>
      <c r="H73" s="260">
        <v>18.75</v>
      </c>
      <c r="I73" s="260">
        <v>10.19</v>
      </c>
      <c r="J73" s="260"/>
      <c r="K73" s="260"/>
      <c r="L73" s="260"/>
      <c r="M73" s="260"/>
      <c r="N73" s="260"/>
      <c r="O73" s="27"/>
    </row>
    <row r="74" spans="1:15" s="64" customFormat="1" ht="38.25" customHeight="1" x14ac:dyDescent="0.25">
      <c r="A74" s="21" t="s">
        <v>133</v>
      </c>
      <c r="B74" s="21" t="s">
        <v>105</v>
      </c>
      <c r="C74" s="21"/>
      <c r="D74" s="68" t="s">
        <v>106</v>
      </c>
      <c r="E74" s="44"/>
      <c r="F74" s="45"/>
      <c r="G74" s="260">
        <f>G75+G76</f>
        <v>1126.6500000000001</v>
      </c>
      <c r="H74" s="260">
        <f>H75+H76</f>
        <v>110.87</v>
      </c>
      <c r="I74" s="260">
        <f>I75+I76</f>
        <v>86.132000000000005</v>
      </c>
      <c r="J74" s="260"/>
      <c r="K74" s="260">
        <f>K75+K76</f>
        <v>0</v>
      </c>
      <c r="L74" s="260"/>
      <c r="M74" s="260"/>
      <c r="N74" s="260"/>
      <c r="O74" s="27"/>
    </row>
    <row r="75" spans="1:15" s="64" customFormat="1" ht="113.25" customHeight="1" x14ac:dyDescent="0.25">
      <c r="A75" s="21" t="s">
        <v>134</v>
      </c>
      <c r="B75" s="21" t="s">
        <v>107</v>
      </c>
      <c r="C75" s="21" t="s">
        <v>108</v>
      </c>
      <c r="D75" s="16" t="s">
        <v>109</v>
      </c>
      <c r="E75" s="44"/>
      <c r="F75" s="88" t="s">
        <v>135</v>
      </c>
      <c r="G75" s="260">
        <v>970.5</v>
      </c>
      <c r="H75" s="260">
        <v>51.3</v>
      </c>
      <c r="I75" s="260">
        <v>43.088999999999999</v>
      </c>
      <c r="J75" s="260"/>
      <c r="K75" s="260"/>
      <c r="L75" s="260"/>
      <c r="M75" s="260"/>
      <c r="N75" s="260"/>
      <c r="O75" s="27"/>
    </row>
    <row r="76" spans="1:15" s="10" customFormat="1" ht="78" customHeight="1" x14ac:dyDescent="0.25">
      <c r="A76" s="24" t="s">
        <v>136</v>
      </c>
      <c r="B76" s="21" t="s">
        <v>137</v>
      </c>
      <c r="C76" s="21" t="s">
        <v>108</v>
      </c>
      <c r="D76" s="43" t="s">
        <v>111</v>
      </c>
      <c r="E76" s="44"/>
      <c r="F76" s="43" t="s">
        <v>138</v>
      </c>
      <c r="G76" s="260">
        <v>156.15</v>
      </c>
      <c r="H76" s="260">
        <v>59.57</v>
      </c>
      <c r="I76" s="260">
        <v>43.042999999999999</v>
      </c>
      <c r="J76" s="260"/>
      <c r="K76" s="260"/>
      <c r="L76" s="260"/>
      <c r="M76" s="260"/>
      <c r="N76" s="260"/>
      <c r="O76" s="27"/>
    </row>
    <row r="77" spans="1:15" s="10" customFormat="1" ht="40.5" customHeight="1" x14ac:dyDescent="0.25">
      <c r="A77" s="24" t="s">
        <v>139</v>
      </c>
      <c r="B77" s="21" t="s">
        <v>140</v>
      </c>
      <c r="C77" s="21" t="s">
        <v>141</v>
      </c>
      <c r="D77" s="68" t="s">
        <v>142</v>
      </c>
      <c r="E77" s="44"/>
      <c r="F77" s="43"/>
      <c r="G77" s="260">
        <f>G78</f>
        <v>1797.8</v>
      </c>
      <c r="H77" s="260">
        <f>H78</f>
        <v>354.64</v>
      </c>
      <c r="I77" s="260">
        <f>I78</f>
        <v>230.52500000000001</v>
      </c>
      <c r="J77" s="260"/>
      <c r="K77" s="260">
        <f>K78</f>
        <v>0</v>
      </c>
      <c r="L77" s="260"/>
      <c r="M77" s="260"/>
      <c r="N77" s="260"/>
      <c r="O77" s="27"/>
    </row>
    <row r="78" spans="1:15" s="65" customFormat="1" ht="166.5" customHeight="1" x14ac:dyDescent="0.25">
      <c r="A78" s="21" t="s">
        <v>143</v>
      </c>
      <c r="B78" s="21" t="s">
        <v>144</v>
      </c>
      <c r="C78" s="21" t="s">
        <v>141</v>
      </c>
      <c r="D78" s="16" t="s">
        <v>142</v>
      </c>
      <c r="E78" s="43"/>
      <c r="F78" s="43" t="s">
        <v>145</v>
      </c>
      <c r="G78" s="260">
        <v>1797.8</v>
      </c>
      <c r="H78" s="260">
        <v>354.64</v>
      </c>
      <c r="I78" s="260">
        <v>230.52500000000001</v>
      </c>
      <c r="J78" s="260"/>
      <c r="K78" s="260"/>
      <c r="L78" s="260"/>
      <c r="M78" s="260"/>
      <c r="N78" s="260"/>
      <c r="O78" s="14"/>
    </row>
    <row r="79" spans="1:15" s="65" customFormat="1" ht="84.75" customHeight="1" x14ac:dyDescent="0.3">
      <c r="A79" s="234" t="s">
        <v>349</v>
      </c>
      <c r="B79" s="233" t="s">
        <v>348</v>
      </c>
      <c r="C79" s="233" t="s">
        <v>141</v>
      </c>
      <c r="D79" s="235" t="s">
        <v>142</v>
      </c>
      <c r="E79" s="43"/>
      <c r="F79" s="13" t="s">
        <v>347</v>
      </c>
      <c r="G79" s="260">
        <v>25</v>
      </c>
      <c r="H79" s="260">
        <v>25</v>
      </c>
      <c r="I79" s="260">
        <v>25</v>
      </c>
      <c r="J79" s="260"/>
      <c r="K79" s="260"/>
      <c r="L79" s="260"/>
      <c r="M79" s="260"/>
      <c r="N79" s="260"/>
      <c r="O79" s="14"/>
    </row>
    <row r="80" spans="1:15" s="10" customFormat="1" ht="27.75" customHeight="1" x14ac:dyDescent="0.25">
      <c r="A80" s="50"/>
      <c r="B80" s="34"/>
      <c r="C80" s="34"/>
      <c r="D80" s="197" t="s">
        <v>50</v>
      </c>
      <c r="E80" s="201"/>
      <c r="F80" s="202"/>
      <c r="G80" s="262">
        <f>G43+G52+G57+G58+G64+G79</f>
        <v>5856.05</v>
      </c>
      <c r="H80" s="262">
        <f t="shared" ref="H80:N80" si="8">H43+H52+H57+H58+H64+H79</f>
        <v>1336.4</v>
      </c>
      <c r="I80" s="262">
        <f t="shared" si="8"/>
        <v>760.16694999999993</v>
      </c>
      <c r="J80" s="262">
        <f t="shared" si="8"/>
        <v>47.323075087624936</v>
      </c>
      <c r="K80" s="262">
        <f t="shared" si="8"/>
        <v>500</v>
      </c>
      <c r="L80" s="262">
        <f t="shared" si="8"/>
        <v>0</v>
      </c>
      <c r="M80" s="262">
        <f t="shared" si="8"/>
        <v>0</v>
      </c>
      <c r="N80" s="262">
        <f t="shared" si="8"/>
        <v>0</v>
      </c>
      <c r="O80" s="27"/>
    </row>
    <row r="81" spans="1:15" s="10" customFormat="1" ht="43.5" customHeight="1" x14ac:dyDescent="0.25">
      <c r="A81" s="180">
        <v>2000000</v>
      </c>
      <c r="B81" s="167"/>
      <c r="C81" s="167"/>
      <c r="D81" s="181" t="s">
        <v>146</v>
      </c>
      <c r="E81" s="182"/>
      <c r="F81" s="165"/>
      <c r="G81" s="265"/>
      <c r="H81" s="265"/>
      <c r="I81" s="265"/>
      <c r="J81" s="265"/>
      <c r="K81" s="265"/>
      <c r="L81" s="265"/>
      <c r="M81" s="265"/>
      <c r="N81" s="265"/>
      <c r="O81" s="27"/>
    </row>
    <row r="82" spans="1:15" s="71" customFormat="1" ht="43.5" customHeight="1" x14ac:dyDescent="0.25">
      <c r="A82" s="180">
        <v>2010000</v>
      </c>
      <c r="B82" s="167"/>
      <c r="C82" s="167"/>
      <c r="D82" s="183" t="s">
        <v>146</v>
      </c>
      <c r="E82" s="182"/>
      <c r="F82" s="165"/>
      <c r="G82" s="265"/>
      <c r="H82" s="265"/>
      <c r="I82" s="265"/>
      <c r="J82" s="265"/>
      <c r="K82" s="265"/>
      <c r="L82" s="265"/>
      <c r="M82" s="265"/>
      <c r="N82" s="265"/>
      <c r="O82" s="70"/>
    </row>
    <row r="83" spans="1:15" s="71" customFormat="1" ht="43.5" customHeight="1" x14ac:dyDescent="0.25">
      <c r="A83" s="11" t="s">
        <v>147</v>
      </c>
      <c r="B83" s="11" t="s">
        <v>148</v>
      </c>
      <c r="C83" s="34"/>
      <c r="D83" s="156" t="s">
        <v>149</v>
      </c>
      <c r="E83" s="69"/>
      <c r="F83" s="9"/>
      <c r="G83" s="261">
        <f>G84</f>
        <v>5</v>
      </c>
      <c r="H83" s="261"/>
      <c r="I83" s="261"/>
      <c r="J83" s="261"/>
      <c r="K83" s="261">
        <f>K84</f>
        <v>0</v>
      </c>
      <c r="L83" s="261"/>
      <c r="M83" s="261"/>
      <c r="N83" s="261"/>
      <c r="O83" s="70"/>
    </row>
    <row r="84" spans="1:15" s="10" customFormat="1" ht="66" customHeight="1" x14ac:dyDescent="0.25">
      <c r="A84" s="42">
        <v>2013112</v>
      </c>
      <c r="B84" s="21" t="s">
        <v>150</v>
      </c>
      <c r="C84" s="49" t="s">
        <v>53</v>
      </c>
      <c r="D84" s="72" t="s">
        <v>151</v>
      </c>
      <c r="E84" s="69"/>
      <c r="F84" s="62" t="s">
        <v>282</v>
      </c>
      <c r="G84" s="261">
        <v>5</v>
      </c>
      <c r="H84" s="261"/>
      <c r="I84" s="261"/>
      <c r="J84" s="261"/>
      <c r="K84" s="261"/>
      <c r="L84" s="261"/>
      <c r="M84" s="261"/>
      <c r="N84" s="261"/>
      <c r="O84" s="27"/>
    </row>
    <row r="85" spans="1:15" s="73" customFormat="1" ht="35.25" customHeight="1" x14ac:dyDescent="0.25">
      <c r="A85" s="48"/>
      <c r="B85" s="49"/>
      <c r="C85" s="49"/>
      <c r="D85" s="197" t="s">
        <v>50</v>
      </c>
      <c r="E85" s="197"/>
      <c r="F85" s="198"/>
      <c r="G85" s="262">
        <f>G83</f>
        <v>5</v>
      </c>
      <c r="H85" s="262">
        <f>H83</f>
        <v>0</v>
      </c>
      <c r="I85" s="262">
        <f>I83</f>
        <v>0</v>
      </c>
      <c r="J85" s="262">
        <f>I85/G85*100</f>
        <v>0</v>
      </c>
      <c r="K85" s="262">
        <f>K83</f>
        <v>0</v>
      </c>
      <c r="L85" s="262"/>
      <c r="M85" s="262"/>
      <c r="N85" s="262"/>
      <c r="O85" s="31"/>
    </row>
    <row r="86" spans="1:15" s="65" customFormat="1" ht="58.5" customHeight="1" x14ac:dyDescent="0.25">
      <c r="A86" s="169">
        <v>2400000</v>
      </c>
      <c r="B86" s="176"/>
      <c r="C86" s="176"/>
      <c r="D86" s="171" t="s">
        <v>152</v>
      </c>
      <c r="E86" s="184"/>
      <c r="F86" s="173"/>
      <c r="G86" s="265"/>
      <c r="H86" s="265"/>
      <c r="I86" s="265"/>
      <c r="J86" s="265"/>
      <c r="K86" s="265"/>
      <c r="L86" s="265"/>
      <c r="M86" s="265"/>
      <c r="N86" s="265"/>
      <c r="O86" s="14"/>
    </row>
    <row r="87" spans="1:15" s="65" customFormat="1" ht="60.75" customHeight="1" x14ac:dyDescent="0.25">
      <c r="A87" s="169">
        <v>2410000</v>
      </c>
      <c r="B87" s="176"/>
      <c r="C87" s="176"/>
      <c r="D87" s="174" t="s">
        <v>152</v>
      </c>
      <c r="E87" s="184"/>
      <c r="F87" s="173"/>
      <c r="G87" s="265"/>
      <c r="H87" s="265"/>
      <c r="I87" s="265"/>
      <c r="J87" s="265"/>
      <c r="K87" s="265"/>
      <c r="L87" s="265"/>
      <c r="M87" s="265"/>
      <c r="N87" s="265"/>
      <c r="O87" s="14"/>
    </row>
    <row r="88" spans="1:15" s="74" customFormat="1" ht="50.25" customHeight="1" x14ac:dyDescent="0.25">
      <c r="A88" s="42">
        <v>2413140</v>
      </c>
      <c r="B88" s="21" t="s">
        <v>153</v>
      </c>
      <c r="C88" s="157" t="s">
        <v>53</v>
      </c>
      <c r="D88" s="158" t="s">
        <v>251</v>
      </c>
      <c r="E88" s="28"/>
      <c r="F88" s="210" t="s">
        <v>154</v>
      </c>
      <c r="G88" s="270">
        <f>G89</f>
        <v>85</v>
      </c>
      <c r="H88" s="270">
        <f>H89</f>
        <v>14</v>
      </c>
      <c r="I88" s="270">
        <f>I89</f>
        <v>10</v>
      </c>
      <c r="J88" s="270">
        <f>I88/G88*100</f>
        <v>11.76470588235294</v>
      </c>
      <c r="K88" s="270">
        <f>SUM(K90:K92)</f>
        <v>0</v>
      </c>
      <c r="L88" s="270"/>
      <c r="M88" s="270"/>
      <c r="N88" s="270"/>
      <c r="O88" s="14"/>
    </row>
    <row r="89" spans="1:15" s="74" customFormat="1" ht="85.5" customHeight="1" x14ac:dyDescent="0.3">
      <c r="A89" s="159" t="s">
        <v>249</v>
      </c>
      <c r="B89" s="159" t="s">
        <v>250</v>
      </c>
      <c r="C89" s="159" t="s">
        <v>53</v>
      </c>
      <c r="D89" s="158" t="s">
        <v>252</v>
      </c>
      <c r="E89" s="28"/>
      <c r="F89" s="43"/>
      <c r="G89" s="261">
        <f>SUM(G90:G92)</f>
        <v>85</v>
      </c>
      <c r="H89" s="261">
        <f>SUM(H90:H92)</f>
        <v>14</v>
      </c>
      <c r="I89" s="261">
        <v>10</v>
      </c>
      <c r="J89" s="261">
        <f>I89/G89*100</f>
        <v>11.76470588235294</v>
      </c>
      <c r="K89" s="261">
        <f t="shared" ref="K89" si="9">SUM(K90:K92)</f>
        <v>0</v>
      </c>
      <c r="L89" s="261"/>
      <c r="M89" s="261"/>
      <c r="N89" s="261"/>
      <c r="O89" s="14"/>
    </row>
    <row r="90" spans="1:15" s="10" customFormat="1" ht="69" customHeight="1" x14ac:dyDescent="0.25">
      <c r="A90" s="24"/>
      <c r="B90" s="24"/>
      <c r="C90" s="24"/>
      <c r="D90" s="160" t="s">
        <v>178</v>
      </c>
      <c r="E90" s="57"/>
      <c r="F90" s="43" t="s">
        <v>155</v>
      </c>
      <c r="G90" s="260">
        <v>50</v>
      </c>
      <c r="H90" s="260">
        <v>14</v>
      </c>
      <c r="I90" s="260"/>
      <c r="J90" s="260"/>
      <c r="K90" s="261"/>
      <c r="L90" s="261"/>
      <c r="M90" s="261"/>
      <c r="N90" s="261"/>
      <c r="O90" s="27"/>
    </row>
    <row r="91" spans="1:15" s="65" customFormat="1" ht="41.25" customHeight="1" x14ac:dyDescent="0.25">
      <c r="A91" s="21"/>
      <c r="B91" s="21"/>
      <c r="C91" s="21"/>
      <c r="D91" s="28"/>
      <c r="E91" s="28"/>
      <c r="F91" s="43" t="s">
        <v>156</v>
      </c>
      <c r="G91" s="260">
        <v>25</v>
      </c>
      <c r="H91" s="260"/>
      <c r="I91" s="260"/>
      <c r="J91" s="260"/>
      <c r="K91" s="261"/>
      <c r="L91" s="261"/>
      <c r="M91" s="261"/>
      <c r="N91" s="261"/>
      <c r="O91" s="14"/>
    </row>
    <row r="92" spans="1:15" s="65" customFormat="1" ht="24.75" customHeight="1" x14ac:dyDescent="0.25">
      <c r="A92" s="21"/>
      <c r="B92" s="21"/>
      <c r="C92" s="21"/>
      <c r="D92" s="28"/>
      <c r="E92" s="28"/>
      <c r="F92" s="60" t="s">
        <v>157</v>
      </c>
      <c r="G92" s="260">
        <v>10</v>
      </c>
      <c r="H92" s="260"/>
      <c r="I92" s="260"/>
      <c r="J92" s="260"/>
      <c r="K92" s="260"/>
      <c r="L92" s="260"/>
      <c r="M92" s="260"/>
      <c r="N92" s="260"/>
      <c r="O92" s="14"/>
    </row>
    <row r="93" spans="1:15" s="65" customFormat="1" ht="52.5" customHeight="1" x14ac:dyDescent="0.25">
      <c r="A93" s="21"/>
      <c r="B93" s="21"/>
      <c r="C93" s="21"/>
      <c r="D93" s="47"/>
      <c r="E93" s="47"/>
      <c r="F93" s="210" t="s">
        <v>158</v>
      </c>
      <c r="G93" s="270">
        <f>G94+G95+G98</f>
        <v>1017</v>
      </c>
      <c r="H93" s="270">
        <f>H94+H95+H98</f>
        <v>209.15600000000001</v>
      </c>
      <c r="I93" s="270">
        <f>I94+I95+I98</f>
        <v>136.22299999999998</v>
      </c>
      <c r="J93" s="270">
        <f>I93/G93*100</f>
        <v>13.39459193706981</v>
      </c>
      <c r="K93" s="270">
        <f>K94+K95+K98</f>
        <v>247</v>
      </c>
      <c r="L93" s="270"/>
      <c r="M93" s="270"/>
      <c r="N93" s="270"/>
      <c r="O93" s="14"/>
    </row>
    <row r="94" spans="1:15" s="65" customFormat="1" ht="132" customHeight="1" x14ac:dyDescent="0.25">
      <c r="A94" s="49" t="s">
        <v>159</v>
      </c>
      <c r="B94" s="21" t="s">
        <v>160</v>
      </c>
      <c r="C94" s="21" t="s">
        <v>161</v>
      </c>
      <c r="D94" s="28" t="s">
        <v>162</v>
      </c>
      <c r="E94" s="47"/>
      <c r="F94" s="43" t="s">
        <v>163</v>
      </c>
      <c r="G94" s="260">
        <v>517</v>
      </c>
      <c r="H94" s="260">
        <v>74.2</v>
      </c>
      <c r="I94" s="260">
        <v>49.631999999999998</v>
      </c>
      <c r="J94" s="260">
        <f>I94/G94*100</f>
        <v>9.6</v>
      </c>
      <c r="K94" s="261">
        <v>247</v>
      </c>
      <c r="L94" s="261"/>
      <c r="M94" s="261"/>
      <c r="N94" s="261"/>
      <c r="O94" s="75"/>
    </row>
    <row r="95" spans="1:15" s="65" customFormat="1" ht="33.75" customHeight="1" x14ac:dyDescent="0.25">
      <c r="A95" s="11" t="s">
        <v>164</v>
      </c>
      <c r="B95" s="11" t="s">
        <v>165</v>
      </c>
      <c r="C95" s="21"/>
      <c r="D95" s="67" t="s">
        <v>166</v>
      </c>
      <c r="E95" s="212"/>
      <c r="F95" s="210"/>
      <c r="G95" s="271">
        <f>G96+G97</f>
        <v>300.25400000000002</v>
      </c>
      <c r="H95" s="271">
        <f>H96+H97</f>
        <v>75.804000000000002</v>
      </c>
      <c r="I95" s="271">
        <f>I96+I97</f>
        <v>43.230000000000004</v>
      </c>
      <c r="J95" s="271"/>
      <c r="K95" s="271">
        <f>K96+K97</f>
        <v>0</v>
      </c>
      <c r="L95" s="271"/>
      <c r="M95" s="271"/>
      <c r="N95" s="271"/>
      <c r="O95" s="75"/>
    </row>
    <row r="96" spans="1:15" s="10" customFormat="1" ht="54.75" customHeight="1" x14ac:dyDescent="0.25">
      <c r="A96" s="42">
        <v>2415011</v>
      </c>
      <c r="B96" s="42">
        <v>5011</v>
      </c>
      <c r="C96" s="21" t="s">
        <v>167</v>
      </c>
      <c r="D96" s="67" t="s">
        <v>168</v>
      </c>
      <c r="E96" s="66"/>
      <c r="F96" s="43" t="s">
        <v>169</v>
      </c>
      <c r="G96" s="260">
        <v>173.22399999999999</v>
      </c>
      <c r="H96" s="260">
        <v>32.314</v>
      </c>
      <c r="I96" s="260">
        <v>14.364000000000001</v>
      </c>
      <c r="J96" s="260"/>
      <c r="K96" s="272"/>
      <c r="L96" s="272"/>
      <c r="M96" s="272"/>
      <c r="N96" s="272"/>
      <c r="O96" s="27"/>
    </row>
    <row r="97" spans="1:16" s="65" customFormat="1" ht="56.25" customHeight="1" x14ac:dyDescent="0.25">
      <c r="A97" s="42">
        <v>2415012</v>
      </c>
      <c r="B97" s="21" t="s">
        <v>170</v>
      </c>
      <c r="C97" s="21" t="s">
        <v>167</v>
      </c>
      <c r="D97" s="43" t="s">
        <v>171</v>
      </c>
      <c r="E97" s="43" t="s">
        <v>171</v>
      </c>
      <c r="F97" s="43" t="s">
        <v>172</v>
      </c>
      <c r="G97" s="260">
        <v>127.03</v>
      </c>
      <c r="H97" s="260">
        <v>43.49</v>
      </c>
      <c r="I97" s="260">
        <v>28.866</v>
      </c>
      <c r="J97" s="260"/>
      <c r="K97" s="261"/>
      <c r="L97" s="261"/>
      <c r="M97" s="261"/>
      <c r="N97" s="261"/>
      <c r="O97" s="14"/>
    </row>
    <row r="98" spans="1:16" s="74" customFormat="1" ht="44.25" customHeight="1" x14ac:dyDescent="0.25">
      <c r="A98" s="42">
        <v>2412060</v>
      </c>
      <c r="B98" s="21" t="s">
        <v>173</v>
      </c>
      <c r="C98" s="21" t="s">
        <v>167</v>
      </c>
      <c r="D98" s="67" t="s">
        <v>253</v>
      </c>
      <c r="E98" s="28"/>
      <c r="F98" s="210"/>
      <c r="G98" s="271">
        <f>G99</f>
        <v>199.74600000000001</v>
      </c>
      <c r="H98" s="271">
        <f>H99</f>
        <v>59.152000000000001</v>
      </c>
      <c r="I98" s="271">
        <f>I99</f>
        <v>43.360999999999997</v>
      </c>
      <c r="J98" s="271"/>
      <c r="K98" s="271"/>
      <c r="L98" s="271"/>
      <c r="M98" s="271"/>
      <c r="N98" s="271"/>
      <c r="O98" s="76"/>
    </row>
    <row r="99" spans="1:16" s="74" customFormat="1" ht="144" customHeight="1" x14ac:dyDescent="0.25">
      <c r="A99" s="11" t="s">
        <v>255</v>
      </c>
      <c r="B99" s="11" t="s">
        <v>256</v>
      </c>
      <c r="C99" s="11" t="s">
        <v>167</v>
      </c>
      <c r="D99" s="67" t="s">
        <v>254</v>
      </c>
      <c r="E99" s="28"/>
      <c r="F99" s="43" t="s">
        <v>174</v>
      </c>
      <c r="G99" s="260">
        <v>199.74600000000001</v>
      </c>
      <c r="H99" s="260">
        <v>59.152000000000001</v>
      </c>
      <c r="I99" s="260">
        <v>43.360999999999997</v>
      </c>
      <c r="J99" s="260"/>
      <c r="K99" s="260"/>
      <c r="L99" s="260"/>
      <c r="M99" s="260"/>
      <c r="N99" s="260"/>
      <c r="O99" s="76"/>
    </row>
    <row r="100" spans="1:16" s="10" customFormat="1" ht="23.25" customHeight="1" x14ac:dyDescent="0.25">
      <c r="A100" s="24"/>
      <c r="B100" s="77"/>
      <c r="C100" s="77"/>
      <c r="D100" s="197" t="s">
        <v>50</v>
      </c>
      <c r="E100" s="203"/>
      <c r="F100" s="196"/>
      <c r="G100" s="262">
        <f>G88+G93</f>
        <v>1102</v>
      </c>
      <c r="H100" s="262">
        <f>H88+H93</f>
        <v>223.15600000000001</v>
      </c>
      <c r="I100" s="262">
        <f>I88+I93</f>
        <v>146.22299999999998</v>
      </c>
      <c r="J100" s="262">
        <f>I100/G100*100</f>
        <v>13.268874773139745</v>
      </c>
      <c r="K100" s="262">
        <f>K88+K93</f>
        <v>247</v>
      </c>
      <c r="L100" s="262"/>
      <c r="M100" s="262"/>
      <c r="N100" s="262"/>
      <c r="O100" s="27"/>
    </row>
    <row r="101" spans="1:16" s="65" customFormat="1" ht="82.5" customHeight="1" x14ac:dyDescent="0.25">
      <c r="A101" s="169">
        <v>4000000</v>
      </c>
      <c r="B101" s="185"/>
      <c r="C101" s="185"/>
      <c r="D101" s="186" t="s">
        <v>175</v>
      </c>
      <c r="E101" s="172"/>
      <c r="F101" s="173"/>
      <c r="G101" s="265"/>
      <c r="H101" s="265"/>
      <c r="I101" s="265"/>
      <c r="J101" s="265"/>
      <c r="K101" s="265"/>
      <c r="L101" s="265"/>
      <c r="M101" s="265"/>
      <c r="N101" s="265"/>
      <c r="O101" s="14"/>
    </row>
    <row r="102" spans="1:16" s="74" customFormat="1" ht="76.5" customHeight="1" x14ac:dyDescent="0.25">
      <c r="A102" s="187">
        <v>4010000</v>
      </c>
      <c r="B102" s="185"/>
      <c r="C102" s="185"/>
      <c r="D102" s="188" t="s">
        <v>175</v>
      </c>
      <c r="E102" s="172"/>
      <c r="F102" s="189"/>
      <c r="G102" s="267"/>
      <c r="H102" s="267"/>
      <c r="I102" s="267"/>
      <c r="J102" s="267"/>
      <c r="K102" s="267"/>
      <c r="L102" s="267"/>
      <c r="M102" s="267"/>
      <c r="N102" s="267"/>
      <c r="O102" s="14"/>
    </row>
    <row r="103" spans="1:16" s="74" customFormat="1" ht="53.25" customHeight="1" x14ac:dyDescent="0.25">
      <c r="A103" s="42"/>
      <c r="B103" s="42"/>
      <c r="C103" s="42"/>
      <c r="D103" s="43"/>
      <c r="E103" s="41"/>
      <c r="F103" s="43" t="s">
        <v>176</v>
      </c>
      <c r="G103" s="261">
        <f>G104+G113+G115+G117+G130+G136</f>
        <v>19138.957999999999</v>
      </c>
      <c r="H103" s="261">
        <f>H104+H113+H115+H117+H130+H136</f>
        <v>5014.0880000000006</v>
      </c>
      <c r="I103" s="261">
        <f>I104+I113+I115+I117+I130+I136</f>
        <v>4100.75</v>
      </c>
      <c r="J103" s="261">
        <f>I103/G103*100</f>
        <v>21.426192585824161</v>
      </c>
      <c r="K103" s="261">
        <f>K104+K113+K115+K117+K130+K136</f>
        <v>8280.9920000000002</v>
      </c>
      <c r="L103" s="261">
        <f>L104+L113+L115+L117+L130+L136</f>
        <v>1117.2919999999999</v>
      </c>
      <c r="M103" s="261">
        <f>M104+M113+M115+M117+M130+M136</f>
        <v>100.31855999999999</v>
      </c>
      <c r="N103" s="261">
        <f>M103/K103*100</f>
        <v>1.2114316738864135</v>
      </c>
      <c r="O103" s="75">
        <v>19690</v>
      </c>
      <c r="P103" s="79" t="e">
        <f>#REF!-O103</f>
        <v>#REF!</v>
      </c>
    </row>
    <row r="104" spans="1:16" s="74" customFormat="1" ht="81" customHeight="1" x14ac:dyDescent="0.25">
      <c r="A104" s="42">
        <v>4016010</v>
      </c>
      <c r="B104" s="42">
        <v>6010</v>
      </c>
      <c r="C104" s="42">
        <v>610</v>
      </c>
      <c r="D104" s="43" t="s">
        <v>177</v>
      </c>
      <c r="E104" s="41"/>
      <c r="F104" s="43"/>
      <c r="G104" s="260">
        <f>SUM(G105:G112)</f>
        <v>3084.7080000000001</v>
      </c>
      <c r="H104" s="260">
        <f>SUM(H105:H112)</f>
        <v>1354</v>
      </c>
      <c r="I104" s="260">
        <f>SUM(I105:I112)</f>
        <v>913.77499999999998</v>
      </c>
      <c r="J104" s="260">
        <f>I104/G104*100</f>
        <v>29.622739008035765</v>
      </c>
      <c r="K104" s="260"/>
      <c r="L104" s="260"/>
      <c r="M104" s="260"/>
      <c r="N104" s="260"/>
      <c r="O104" s="14"/>
    </row>
    <row r="105" spans="1:16" s="74" customFormat="1" ht="108.75" customHeight="1" x14ac:dyDescent="0.25">
      <c r="A105" s="42"/>
      <c r="B105" s="42"/>
      <c r="C105" s="42"/>
      <c r="D105" s="80" t="s">
        <v>178</v>
      </c>
      <c r="E105" s="41"/>
      <c r="F105" s="43" t="s">
        <v>179</v>
      </c>
      <c r="G105" s="260">
        <v>581</v>
      </c>
      <c r="H105" s="260">
        <v>395</v>
      </c>
      <c r="I105" s="260">
        <v>216.785</v>
      </c>
      <c r="J105" s="260"/>
      <c r="K105" s="260"/>
      <c r="L105" s="260"/>
      <c r="M105" s="260"/>
      <c r="N105" s="260"/>
      <c r="O105" s="14"/>
    </row>
    <row r="106" spans="1:16" s="74" customFormat="1" ht="49.5" customHeight="1" x14ac:dyDescent="0.25">
      <c r="A106" s="42"/>
      <c r="B106" s="42"/>
      <c r="C106" s="42"/>
      <c r="D106" s="43"/>
      <c r="E106" s="41"/>
      <c r="F106" s="43" t="s">
        <v>180</v>
      </c>
      <c r="G106" s="260">
        <v>2000</v>
      </c>
      <c r="H106" s="260">
        <v>700</v>
      </c>
      <c r="I106" s="260">
        <v>673.14</v>
      </c>
      <c r="J106" s="260"/>
      <c r="K106" s="260"/>
      <c r="L106" s="260"/>
      <c r="M106" s="260"/>
      <c r="N106" s="260"/>
      <c r="O106" s="14"/>
    </row>
    <row r="107" spans="1:16" s="74" customFormat="1" ht="41.25" customHeight="1" x14ac:dyDescent="0.25">
      <c r="A107" s="42"/>
      <c r="B107" s="42"/>
      <c r="C107" s="42"/>
      <c r="D107" s="43"/>
      <c r="E107" s="41"/>
      <c r="F107" s="43" t="s">
        <v>263</v>
      </c>
      <c r="G107" s="260">
        <f>214-17</f>
        <v>197</v>
      </c>
      <c r="H107" s="260">
        <f>10+70</f>
        <v>80</v>
      </c>
      <c r="I107" s="260">
        <v>0</v>
      </c>
      <c r="J107" s="260"/>
      <c r="K107" s="260"/>
      <c r="L107" s="260"/>
      <c r="M107" s="260"/>
      <c r="N107" s="260"/>
      <c r="O107" s="14"/>
    </row>
    <row r="108" spans="1:16" s="74" customFormat="1" ht="49.5" customHeight="1" x14ac:dyDescent="0.25">
      <c r="A108" s="42"/>
      <c r="B108" s="42"/>
      <c r="C108" s="42"/>
      <c r="D108" s="43"/>
      <c r="E108" s="41"/>
      <c r="F108" s="43" t="s">
        <v>310</v>
      </c>
      <c r="G108" s="260">
        <v>67.707999999999998</v>
      </c>
      <c r="H108" s="260">
        <v>0</v>
      </c>
      <c r="I108" s="260">
        <v>0</v>
      </c>
      <c r="J108" s="260"/>
      <c r="K108" s="260"/>
      <c r="L108" s="260"/>
      <c r="M108" s="260"/>
      <c r="N108" s="260"/>
      <c r="O108" s="14"/>
    </row>
    <row r="109" spans="1:16" s="74" customFormat="1" ht="49.5" customHeight="1" x14ac:dyDescent="0.25">
      <c r="A109" s="42"/>
      <c r="B109" s="42"/>
      <c r="C109" s="42"/>
      <c r="D109" s="43"/>
      <c r="E109" s="41"/>
      <c r="F109" s="43" t="s">
        <v>311</v>
      </c>
      <c r="G109" s="260">
        <v>145</v>
      </c>
      <c r="H109" s="260">
        <v>145</v>
      </c>
      <c r="I109" s="260">
        <v>0</v>
      </c>
      <c r="J109" s="260"/>
      <c r="K109" s="260"/>
      <c r="L109" s="260"/>
      <c r="M109" s="260"/>
      <c r="N109" s="260"/>
      <c r="O109" s="14"/>
    </row>
    <row r="110" spans="1:16" s="74" customFormat="1" ht="49.5" hidden="1" customHeight="1" x14ac:dyDescent="0.25">
      <c r="A110" s="42"/>
      <c r="B110" s="42"/>
      <c r="C110" s="42"/>
      <c r="D110" s="43"/>
      <c r="E110" s="41"/>
      <c r="F110" s="43" t="s">
        <v>312</v>
      </c>
      <c r="G110" s="260">
        <f>62-62</f>
        <v>0</v>
      </c>
      <c r="H110" s="260">
        <v>0</v>
      </c>
      <c r="I110" s="260">
        <v>0</v>
      </c>
      <c r="J110" s="260"/>
      <c r="K110" s="260"/>
      <c r="L110" s="260"/>
      <c r="M110" s="260"/>
      <c r="N110" s="260"/>
      <c r="O110" s="14"/>
    </row>
    <row r="111" spans="1:16" s="74" customFormat="1" ht="68.25" customHeight="1" x14ac:dyDescent="0.25">
      <c r="A111" s="42"/>
      <c r="B111" s="42"/>
      <c r="C111" s="42"/>
      <c r="D111" s="43"/>
      <c r="E111" s="41"/>
      <c r="F111" s="43" t="s">
        <v>301</v>
      </c>
      <c r="G111" s="260">
        <v>94</v>
      </c>
      <c r="H111" s="260">
        <v>34</v>
      </c>
      <c r="I111" s="260">
        <v>23.85</v>
      </c>
      <c r="J111" s="260"/>
      <c r="K111" s="260"/>
      <c r="L111" s="260"/>
      <c r="M111" s="260"/>
      <c r="N111" s="260"/>
      <c r="O111" s="14"/>
    </row>
    <row r="112" spans="1:16" s="74" customFormat="1" ht="7.5" customHeight="1" x14ac:dyDescent="0.25">
      <c r="A112" s="42"/>
      <c r="B112" s="42"/>
      <c r="C112" s="42"/>
      <c r="D112" s="43"/>
      <c r="E112" s="41"/>
      <c r="F112" s="43"/>
      <c r="G112" s="260"/>
      <c r="H112" s="260"/>
      <c r="I112" s="260"/>
      <c r="J112" s="260"/>
      <c r="K112" s="260"/>
      <c r="L112" s="260"/>
      <c r="M112" s="260"/>
      <c r="N112" s="260"/>
      <c r="O112" s="14"/>
    </row>
    <row r="113" spans="1:15" s="74" customFormat="1" ht="36.75" customHeight="1" x14ac:dyDescent="0.25">
      <c r="A113" s="11" t="s">
        <v>181</v>
      </c>
      <c r="B113" s="11" t="s">
        <v>182</v>
      </c>
      <c r="C113" s="42"/>
      <c r="D113" s="43" t="s">
        <v>183</v>
      </c>
      <c r="E113" s="43" t="s">
        <v>183</v>
      </c>
      <c r="F113" s="43"/>
      <c r="G113" s="261">
        <f>G114</f>
        <v>0</v>
      </c>
      <c r="H113" s="261"/>
      <c r="I113" s="261"/>
      <c r="J113" s="261"/>
      <c r="K113" s="261">
        <f>K114</f>
        <v>5331.7</v>
      </c>
      <c r="L113" s="261">
        <f>L114</f>
        <v>860</v>
      </c>
      <c r="M113" s="261">
        <f>M114</f>
        <v>0</v>
      </c>
      <c r="N113" s="261">
        <f>M113/K113*100</f>
        <v>0</v>
      </c>
      <c r="O113" s="14"/>
    </row>
    <row r="114" spans="1:15" s="224" customFormat="1" ht="51.75" customHeight="1" x14ac:dyDescent="0.25">
      <c r="A114" s="42">
        <v>4016021</v>
      </c>
      <c r="B114" s="42">
        <v>6021</v>
      </c>
      <c r="C114" s="42">
        <v>610</v>
      </c>
      <c r="D114" s="43" t="s">
        <v>184</v>
      </c>
      <c r="E114" s="43" t="s">
        <v>184</v>
      </c>
      <c r="F114" s="43" t="s">
        <v>290</v>
      </c>
      <c r="G114" s="260"/>
      <c r="H114" s="260"/>
      <c r="I114" s="260"/>
      <c r="J114" s="260"/>
      <c r="K114" s="260">
        <v>5331.7</v>
      </c>
      <c r="L114" s="260">
        <v>860</v>
      </c>
      <c r="M114" s="260">
        <v>0</v>
      </c>
      <c r="N114" s="260"/>
      <c r="O114" s="52"/>
    </row>
    <row r="115" spans="1:15" s="74" customFormat="1" ht="38.25" customHeight="1" x14ac:dyDescent="0.25">
      <c r="A115" s="11" t="s">
        <v>185</v>
      </c>
      <c r="B115" s="11" t="s">
        <v>186</v>
      </c>
      <c r="C115" s="42"/>
      <c r="D115" s="156" t="s">
        <v>187</v>
      </c>
      <c r="E115" s="41"/>
      <c r="F115" s="43"/>
      <c r="G115" s="261">
        <f>G116</f>
        <v>0</v>
      </c>
      <c r="H115" s="261"/>
      <c r="I115" s="261"/>
      <c r="J115" s="261"/>
      <c r="K115" s="261">
        <f>K116</f>
        <v>633</v>
      </c>
      <c r="L115" s="261">
        <f>L116</f>
        <v>0</v>
      </c>
      <c r="M115" s="261">
        <f>M116</f>
        <v>0</v>
      </c>
      <c r="N115" s="261">
        <f>M115/K115*100</f>
        <v>0</v>
      </c>
      <c r="O115" s="14"/>
    </row>
    <row r="116" spans="1:15" s="74" customFormat="1" ht="66" customHeight="1" x14ac:dyDescent="0.25">
      <c r="A116" s="11" t="s">
        <v>188</v>
      </c>
      <c r="B116" s="11" t="s">
        <v>189</v>
      </c>
      <c r="C116" s="11" t="s">
        <v>190</v>
      </c>
      <c r="D116" s="43" t="s">
        <v>191</v>
      </c>
      <c r="E116" s="41"/>
      <c r="F116" s="43" t="s">
        <v>264</v>
      </c>
      <c r="G116" s="260"/>
      <c r="H116" s="260"/>
      <c r="I116" s="260"/>
      <c r="J116" s="260"/>
      <c r="K116" s="260">
        <v>633</v>
      </c>
      <c r="L116" s="260">
        <v>0</v>
      </c>
      <c r="M116" s="260">
        <v>0</v>
      </c>
      <c r="N116" s="260"/>
      <c r="O116" s="14"/>
    </row>
    <row r="117" spans="1:15" s="74" customFormat="1" ht="23.25" customHeight="1" x14ac:dyDescent="0.25">
      <c r="A117" s="42">
        <v>4016060</v>
      </c>
      <c r="B117" s="42">
        <v>6060</v>
      </c>
      <c r="C117" s="42">
        <v>620</v>
      </c>
      <c r="D117" s="43" t="s">
        <v>192</v>
      </c>
      <c r="E117" s="41"/>
      <c r="F117" s="43"/>
      <c r="G117" s="278">
        <f>SUM(G118:G126)</f>
        <v>15902.55</v>
      </c>
      <c r="H117" s="278">
        <f>SUM(H118:H126)</f>
        <v>3612.9880000000003</v>
      </c>
      <c r="I117" s="278">
        <f>SUM(I118:I126)</f>
        <v>3157.7950000000001</v>
      </c>
      <c r="J117" s="260">
        <f>I117/G117*100</f>
        <v>19.857161272877622</v>
      </c>
      <c r="K117" s="260">
        <f>SUM(K118:K129)</f>
        <v>1997</v>
      </c>
      <c r="L117" s="260">
        <f t="shared" ref="L117:N117" si="10">SUM(L118:L129)</f>
        <v>88</v>
      </c>
      <c r="M117" s="260">
        <f t="shared" si="10"/>
        <v>0</v>
      </c>
      <c r="N117" s="260">
        <f t="shared" si="10"/>
        <v>0</v>
      </c>
      <c r="O117" s="14"/>
    </row>
    <row r="118" spans="1:15" s="74" customFormat="1" ht="51" customHeight="1" x14ac:dyDescent="0.25">
      <c r="A118" s="42"/>
      <c r="B118" s="42"/>
      <c r="C118" s="42"/>
      <c r="D118" s="80" t="s">
        <v>178</v>
      </c>
      <c r="E118" s="41"/>
      <c r="F118" s="43" t="s">
        <v>275</v>
      </c>
      <c r="G118" s="260">
        <v>10383.85</v>
      </c>
      <c r="H118" s="260">
        <v>2023.9880000000001</v>
      </c>
      <c r="I118" s="260">
        <v>2082.8040000000001</v>
      </c>
      <c r="J118" s="260"/>
      <c r="K118" s="260"/>
      <c r="L118" s="260"/>
      <c r="M118" s="260"/>
      <c r="N118" s="260"/>
      <c r="O118" s="14"/>
    </row>
    <row r="119" spans="1:15" s="74" customFormat="1" ht="54.75" customHeight="1" x14ac:dyDescent="0.25">
      <c r="A119" s="42"/>
      <c r="B119" s="42"/>
      <c r="C119" s="42"/>
      <c r="D119" s="80"/>
      <c r="E119" s="41"/>
      <c r="F119" s="43" t="s">
        <v>302</v>
      </c>
      <c r="G119" s="260">
        <v>2313.4</v>
      </c>
      <c r="H119" s="260">
        <v>913.8</v>
      </c>
      <c r="I119" s="260">
        <v>586.91800000000001</v>
      </c>
      <c r="J119" s="260"/>
      <c r="K119" s="260"/>
      <c r="L119" s="260"/>
      <c r="M119" s="260"/>
      <c r="N119" s="260"/>
      <c r="O119" s="14"/>
    </row>
    <row r="120" spans="1:15" s="74" customFormat="1" ht="56.25" customHeight="1" x14ac:dyDescent="0.25">
      <c r="A120" s="42"/>
      <c r="B120" s="42"/>
      <c r="C120" s="42"/>
      <c r="D120" s="80"/>
      <c r="E120" s="41"/>
      <c r="F120" s="43" t="s">
        <v>266</v>
      </c>
      <c r="G120" s="260">
        <v>2800</v>
      </c>
      <c r="H120" s="260">
        <v>669.9</v>
      </c>
      <c r="I120" s="260">
        <v>488.07299999999998</v>
      </c>
      <c r="J120" s="260"/>
      <c r="K120" s="260"/>
      <c r="L120" s="260"/>
      <c r="M120" s="260"/>
      <c r="N120" s="260"/>
      <c r="O120" s="14"/>
    </row>
    <row r="121" spans="1:15" s="74" customFormat="1" ht="81" customHeight="1" x14ac:dyDescent="0.25">
      <c r="A121" s="42"/>
      <c r="B121" s="42"/>
      <c r="C121" s="42"/>
      <c r="D121" s="43"/>
      <c r="E121" s="41"/>
      <c r="F121" s="43" t="s">
        <v>257</v>
      </c>
      <c r="G121" s="260">
        <v>100</v>
      </c>
      <c r="H121" s="260">
        <v>0</v>
      </c>
      <c r="I121" s="260">
        <v>0</v>
      </c>
      <c r="J121" s="260"/>
      <c r="K121" s="260"/>
      <c r="L121" s="260"/>
      <c r="M121" s="260"/>
      <c r="N121" s="260"/>
      <c r="O121" s="14"/>
    </row>
    <row r="122" spans="1:15" s="74" customFormat="1" ht="58.5" customHeight="1" x14ac:dyDescent="0.25">
      <c r="A122" s="42"/>
      <c r="B122" s="42"/>
      <c r="C122" s="42"/>
      <c r="D122" s="43"/>
      <c r="E122" s="41"/>
      <c r="F122" s="43" t="s">
        <v>258</v>
      </c>
      <c r="G122" s="260">
        <v>200</v>
      </c>
      <c r="H122" s="260">
        <v>0</v>
      </c>
      <c r="I122" s="260">
        <v>0</v>
      </c>
      <c r="J122" s="260"/>
      <c r="K122" s="260"/>
      <c r="L122" s="260"/>
      <c r="M122" s="260"/>
      <c r="N122" s="260"/>
      <c r="O122" s="14"/>
    </row>
    <row r="123" spans="1:15" s="74" customFormat="1" ht="58.5" customHeight="1" x14ac:dyDescent="0.25">
      <c r="A123" s="42"/>
      <c r="B123" s="42"/>
      <c r="C123" s="42"/>
      <c r="D123" s="43"/>
      <c r="E123" s="41"/>
      <c r="F123" s="43" t="s">
        <v>332</v>
      </c>
      <c r="G123" s="260">
        <v>100</v>
      </c>
      <c r="H123" s="260">
        <v>0</v>
      </c>
      <c r="I123" s="260">
        <v>0</v>
      </c>
      <c r="J123" s="260"/>
      <c r="K123" s="260"/>
      <c r="L123" s="260"/>
      <c r="M123" s="260"/>
      <c r="N123" s="260"/>
      <c r="O123" s="14"/>
    </row>
    <row r="124" spans="1:15" s="74" customFormat="1" ht="58.5" customHeight="1" x14ac:dyDescent="0.25">
      <c r="A124" s="42"/>
      <c r="B124" s="42"/>
      <c r="C124" s="42"/>
      <c r="D124" s="43"/>
      <c r="E124" s="41"/>
      <c r="F124" s="43" t="s">
        <v>333</v>
      </c>
      <c r="G124" s="260">
        <v>5.3</v>
      </c>
      <c r="H124" s="260">
        <v>5.3</v>
      </c>
      <c r="I124" s="260">
        <v>0</v>
      </c>
      <c r="J124" s="260"/>
      <c r="K124" s="260"/>
      <c r="L124" s="260"/>
      <c r="M124" s="260"/>
      <c r="N124" s="260"/>
      <c r="O124" s="14"/>
    </row>
    <row r="125" spans="1:15" s="74" customFormat="1" ht="51.75" customHeight="1" x14ac:dyDescent="0.25">
      <c r="A125" s="42"/>
      <c r="B125" s="42"/>
      <c r="C125" s="42"/>
      <c r="D125" s="43"/>
      <c r="E125" s="41"/>
      <c r="F125" s="43" t="s">
        <v>265</v>
      </c>
      <c r="G125" s="260"/>
      <c r="H125" s="260"/>
      <c r="I125" s="260"/>
      <c r="J125" s="260"/>
      <c r="K125" s="273">
        <v>380</v>
      </c>
      <c r="L125" s="273">
        <v>0</v>
      </c>
      <c r="M125" s="273">
        <v>0</v>
      </c>
      <c r="N125" s="273">
        <f>M125/K125</f>
        <v>0</v>
      </c>
      <c r="O125" s="14"/>
    </row>
    <row r="126" spans="1:15" s="74" customFormat="1" ht="69.75" customHeight="1" x14ac:dyDescent="0.25">
      <c r="A126" s="42"/>
      <c r="B126" s="42"/>
      <c r="C126" s="42"/>
      <c r="D126" s="43"/>
      <c r="E126" s="41"/>
      <c r="F126" s="43" t="s">
        <v>193</v>
      </c>
      <c r="G126" s="260"/>
      <c r="H126" s="260"/>
      <c r="I126" s="260"/>
      <c r="J126" s="260"/>
      <c r="K126" s="273">
        <v>1000</v>
      </c>
      <c r="L126" s="273">
        <v>0</v>
      </c>
      <c r="M126" s="273">
        <v>0</v>
      </c>
      <c r="N126" s="273">
        <f>M126/K126</f>
        <v>0</v>
      </c>
      <c r="O126" s="14"/>
    </row>
    <row r="127" spans="1:15" s="74" customFormat="1" ht="69.75" customHeight="1" x14ac:dyDescent="0.25">
      <c r="A127" s="42"/>
      <c r="B127" s="42"/>
      <c r="C127" s="42"/>
      <c r="D127" s="43"/>
      <c r="E127" s="41"/>
      <c r="F127" s="43" t="s">
        <v>334</v>
      </c>
      <c r="G127" s="260"/>
      <c r="H127" s="260"/>
      <c r="I127" s="260"/>
      <c r="J127" s="260"/>
      <c r="K127" s="273">
        <v>100</v>
      </c>
      <c r="L127" s="273">
        <v>0</v>
      </c>
      <c r="M127" s="273">
        <v>0</v>
      </c>
      <c r="N127" s="273">
        <v>0</v>
      </c>
      <c r="O127" s="14"/>
    </row>
    <row r="128" spans="1:15" s="74" customFormat="1" ht="69.75" customHeight="1" x14ac:dyDescent="0.25">
      <c r="A128" s="42"/>
      <c r="B128" s="42"/>
      <c r="C128" s="42"/>
      <c r="D128" s="43"/>
      <c r="E128" s="41"/>
      <c r="F128" s="43" t="s">
        <v>335</v>
      </c>
      <c r="G128" s="260"/>
      <c r="H128" s="260"/>
      <c r="I128" s="260"/>
      <c r="J128" s="260"/>
      <c r="K128" s="273">
        <v>88</v>
      </c>
      <c r="L128" s="273">
        <v>88</v>
      </c>
      <c r="M128" s="273">
        <v>0</v>
      </c>
      <c r="N128" s="273">
        <v>0</v>
      </c>
      <c r="O128" s="14"/>
    </row>
    <row r="129" spans="1:15" s="74" customFormat="1" ht="69.75" customHeight="1" x14ac:dyDescent="0.25">
      <c r="A129" s="42"/>
      <c r="B129" s="42"/>
      <c r="C129" s="42"/>
      <c r="D129" s="43"/>
      <c r="E129" s="41"/>
      <c r="F129" s="43" t="s">
        <v>336</v>
      </c>
      <c r="G129" s="260"/>
      <c r="H129" s="260"/>
      <c r="I129" s="260"/>
      <c r="J129" s="260"/>
      <c r="K129" s="273">
        <v>429</v>
      </c>
      <c r="L129" s="273">
        <v>0</v>
      </c>
      <c r="M129" s="273">
        <v>0</v>
      </c>
      <c r="N129" s="273">
        <v>0</v>
      </c>
      <c r="O129" s="14"/>
    </row>
    <row r="130" spans="1:15" s="74" customFormat="1" ht="41.25" customHeight="1" x14ac:dyDescent="0.25">
      <c r="A130" s="42">
        <v>4017420</v>
      </c>
      <c r="B130" s="42">
        <v>7420</v>
      </c>
      <c r="C130" s="42">
        <v>490</v>
      </c>
      <c r="D130" s="43" t="s">
        <v>194</v>
      </c>
      <c r="E130" s="41"/>
      <c r="F130" s="43"/>
      <c r="G130" s="260">
        <f>SUM(G131:G134)</f>
        <v>151.69999999999999</v>
      </c>
      <c r="H130" s="260">
        <f t="shared" ref="H130:I130" si="11">SUM(H131:H134)</f>
        <v>47.1</v>
      </c>
      <c r="I130" s="260">
        <f t="shared" si="11"/>
        <v>29.18</v>
      </c>
      <c r="J130" s="260">
        <f>I130/G130*100</f>
        <v>19.235332893869479</v>
      </c>
      <c r="K130" s="260">
        <f>SUM(K131:K135)</f>
        <v>192</v>
      </c>
      <c r="L130" s="260">
        <f>SUM(L131:L135)</f>
        <v>42</v>
      </c>
      <c r="M130" s="260">
        <f>SUM(M131:M135)</f>
        <v>42</v>
      </c>
      <c r="N130" s="260">
        <f>M130/K130*100</f>
        <v>21.875</v>
      </c>
      <c r="O130" s="14"/>
    </row>
    <row r="131" spans="1:15" s="74" customFormat="1" ht="102" customHeight="1" x14ac:dyDescent="0.25">
      <c r="A131" s="42"/>
      <c r="B131" s="42"/>
      <c r="C131" s="42"/>
      <c r="D131" s="80" t="s">
        <v>178</v>
      </c>
      <c r="E131" s="41"/>
      <c r="F131" s="43" t="s">
        <v>259</v>
      </c>
      <c r="G131" s="260">
        <v>104.6</v>
      </c>
      <c r="H131" s="260">
        <v>0</v>
      </c>
      <c r="I131" s="260">
        <v>0</v>
      </c>
      <c r="J131" s="260"/>
      <c r="K131" s="260"/>
      <c r="L131" s="260"/>
      <c r="M131" s="260"/>
      <c r="N131" s="260"/>
      <c r="O131" s="14"/>
    </row>
    <row r="132" spans="1:15" s="74" customFormat="1" ht="62.25" customHeight="1" x14ac:dyDescent="0.25">
      <c r="A132" s="42"/>
      <c r="B132" s="42"/>
      <c r="C132" s="42"/>
      <c r="D132" s="80"/>
      <c r="E132" s="41"/>
      <c r="F132" s="43" t="s">
        <v>372</v>
      </c>
      <c r="G132" s="260">
        <v>34.6</v>
      </c>
      <c r="H132" s="260">
        <f>29.2+5.4</f>
        <v>34.6</v>
      </c>
      <c r="I132" s="260">
        <v>29.18</v>
      </c>
      <c r="J132" s="260"/>
      <c r="K132" s="260"/>
      <c r="L132" s="260"/>
      <c r="M132" s="260"/>
      <c r="N132" s="260"/>
      <c r="O132" s="14"/>
    </row>
    <row r="133" spans="1:15" s="74" customFormat="1" ht="69.75" customHeight="1" x14ac:dyDescent="0.25">
      <c r="A133" s="42"/>
      <c r="B133" s="42"/>
      <c r="C133" s="42"/>
      <c r="D133" s="80"/>
      <c r="E133" s="41"/>
      <c r="F133" s="43" t="s">
        <v>373</v>
      </c>
      <c r="G133" s="260">
        <v>12.5</v>
      </c>
      <c r="H133" s="260">
        <v>12.5</v>
      </c>
      <c r="I133" s="260">
        <v>0</v>
      </c>
      <c r="J133" s="260"/>
      <c r="K133" s="260"/>
      <c r="L133" s="260"/>
      <c r="M133" s="260"/>
      <c r="N133" s="260"/>
      <c r="O133" s="14"/>
    </row>
    <row r="134" spans="1:15" s="74" customFormat="1" ht="52.5" customHeight="1" x14ac:dyDescent="0.25">
      <c r="A134" s="42"/>
      <c r="B134" s="42"/>
      <c r="C134" s="42"/>
      <c r="D134" s="43"/>
      <c r="E134" s="41"/>
      <c r="F134" s="43" t="s">
        <v>338</v>
      </c>
      <c r="G134" s="260"/>
      <c r="H134" s="260"/>
      <c r="I134" s="260"/>
      <c r="J134" s="260"/>
      <c r="K134" s="260">
        <v>42</v>
      </c>
      <c r="L134" s="260">
        <v>42</v>
      </c>
      <c r="M134" s="260">
        <v>42</v>
      </c>
      <c r="N134" s="260"/>
      <c r="O134" s="14"/>
    </row>
    <row r="135" spans="1:15" s="74" customFormat="1" ht="80.25" customHeight="1" x14ac:dyDescent="0.25">
      <c r="A135" s="42"/>
      <c r="B135" s="42"/>
      <c r="C135" s="42"/>
      <c r="D135" s="43"/>
      <c r="E135" s="41"/>
      <c r="F135" s="43" t="s">
        <v>337</v>
      </c>
      <c r="G135" s="260"/>
      <c r="H135" s="260"/>
      <c r="I135" s="260"/>
      <c r="J135" s="260"/>
      <c r="K135" s="260">
        <v>150</v>
      </c>
      <c r="L135" s="260">
        <v>0</v>
      </c>
      <c r="M135" s="260">
        <v>0</v>
      </c>
      <c r="N135" s="260"/>
      <c r="O135" s="14"/>
    </row>
    <row r="136" spans="1:15" s="74" customFormat="1" ht="86.25" customHeight="1" x14ac:dyDescent="0.25">
      <c r="A136" s="42">
        <v>4019181</v>
      </c>
      <c r="B136" s="24" t="s">
        <v>313</v>
      </c>
      <c r="C136" s="24" t="s">
        <v>30</v>
      </c>
      <c r="D136" s="43" t="s">
        <v>314</v>
      </c>
      <c r="E136" s="41"/>
      <c r="F136" s="88" t="s">
        <v>315</v>
      </c>
      <c r="G136" s="260"/>
      <c r="H136" s="260"/>
      <c r="I136" s="260"/>
      <c r="J136" s="260"/>
      <c r="K136" s="260">
        <v>127.292</v>
      </c>
      <c r="L136" s="260">
        <v>127.292</v>
      </c>
      <c r="M136" s="260">
        <f>58.31856</f>
        <v>58.318559999999998</v>
      </c>
      <c r="N136" s="260"/>
      <c r="O136" s="14"/>
    </row>
    <row r="137" spans="1:15" s="10" customFormat="1" ht="70.5" customHeight="1" x14ac:dyDescent="0.25">
      <c r="A137" s="24"/>
      <c r="B137" s="77"/>
      <c r="C137" s="77"/>
      <c r="D137" s="81"/>
      <c r="E137" s="44"/>
      <c r="F137" s="215" t="s">
        <v>195</v>
      </c>
      <c r="G137" s="270">
        <f>G139</f>
        <v>0</v>
      </c>
      <c r="H137" s="270"/>
      <c r="I137" s="270"/>
      <c r="J137" s="270"/>
      <c r="K137" s="270">
        <f>K138+K139+K141+K142+K147+K151+K144+K140</f>
        <v>25374.171999999999</v>
      </c>
      <c r="L137" s="270">
        <f>L138+L139+L141+L142+L147+L151+L144+L140</f>
        <v>3213.6000000000004</v>
      </c>
      <c r="M137" s="270">
        <f>M138+M139+M141+M142+M147+M151+M144+M140</f>
        <v>85.161240000000006</v>
      </c>
      <c r="N137" s="270">
        <f t="shared" ref="N137" si="12">N138+N139+N141+N142+N147+N151+N143+N145+N146</f>
        <v>0</v>
      </c>
      <c r="O137" s="27"/>
    </row>
    <row r="138" spans="1:15" s="71" customFormat="1" ht="84" customHeight="1" x14ac:dyDescent="0.25">
      <c r="A138" s="11" t="s">
        <v>316</v>
      </c>
      <c r="B138" s="11" t="s">
        <v>317</v>
      </c>
      <c r="C138" s="21" t="s">
        <v>190</v>
      </c>
      <c r="D138" s="156" t="s">
        <v>318</v>
      </c>
      <c r="E138" s="44"/>
      <c r="F138" s="43" t="s">
        <v>319</v>
      </c>
      <c r="G138" s="261"/>
      <c r="H138" s="261"/>
      <c r="I138" s="261"/>
      <c r="J138" s="261"/>
      <c r="K138" s="260">
        <v>100</v>
      </c>
      <c r="L138" s="260">
        <v>30</v>
      </c>
      <c r="M138" s="260">
        <v>0</v>
      </c>
      <c r="N138" s="261"/>
      <c r="O138" s="70"/>
    </row>
    <row r="139" spans="1:15" s="71" customFormat="1" ht="39.75" customHeight="1" x14ac:dyDescent="0.25">
      <c r="A139" s="11" t="s">
        <v>196</v>
      </c>
      <c r="B139" s="11" t="s">
        <v>36</v>
      </c>
      <c r="C139" s="24" t="s">
        <v>37</v>
      </c>
      <c r="D139" s="67" t="s">
        <v>197</v>
      </c>
      <c r="E139" s="67" t="s">
        <v>197</v>
      </c>
      <c r="F139" s="67" t="s">
        <v>260</v>
      </c>
      <c r="G139" s="260"/>
      <c r="H139" s="260"/>
      <c r="I139" s="260"/>
      <c r="J139" s="260"/>
      <c r="K139" s="260">
        <v>15331.572</v>
      </c>
      <c r="L139" s="260">
        <v>2874</v>
      </c>
      <c r="M139" s="260"/>
      <c r="N139" s="260"/>
      <c r="O139" s="70"/>
    </row>
    <row r="140" spans="1:15" s="71" customFormat="1" ht="99.75" customHeight="1" x14ac:dyDescent="0.25">
      <c r="A140" s="11" t="s">
        <v>363</v>
      </c>
      <c r="B140" s="11" t="s">
        <v>364</v>
      </c>
      <c r="C140" s="24" t="s">
        <v>211</v>
      </c>
      <c r="D140" s="67" t="s">
        <v>362</v>
      </c>
      <c r="E140" s="67"/>
      <c r="F140" s="67" t="s">
        <v>365</v>
      </c>
      <c r="G140" s="260"/>
      <c r="H140" s="260"/>
      <c r="I140" s="260"/>
      <c r="J140" s="260"/>
      <c r="K140" s="260">
        <v>395</v>
      </c>
      <c r="L140" s="260">
        <v>0</v>
      </c>
      <c r="M140" s="260">
        <v>0</v>
      </c>
      <c r="N140" s="260"/>
      <c r="O140" s="70"/>
    </row>
    <row r="141" spans="1:15" s="10" customFormat="1" ht="51" customHeight="1" x14ac:dyDescent="0.25">
      <c r="A141" s="82" t="s">
        <v>198</v>
      </c>
      <c r="B141" s="82" t="s">
        <v>199</v>
      </c>
      <c r="C141" s="82" t="s">
        <v>190</v>
      </c>
      <c r="D141" s="67" t="s">
        <v>192</v>
      </c>
      <c r="E141" s="44"/>
      <c r="F141" s="45" t="s">
        <v>261</v>
      </c>
      <c r="G141" s="260">
        <v>0</v>
      </c>
      <c r="H141" s="260"/>
      <c r="I141" s="260"/>
      <c r="J141" s="260"/>
      <c r="K141" s="260">
        <v>37.9</v>
      </c>
      <c r="L141" s="260">
        <v>0</v>
      </c>
      <c r="M141" s="260">
        <v>0</v>
      </c>
      <c r="N141" s="260"/>
      <c r="O141" s="27"/>
    </row>
    <row r="142" spans="1:15" s="10" customFormat="1" ht="36" customHeight="1" x14ac:dyDescent="0.25">
      <c r="A142" s="82" t="s">
        <v>181</v>
      </c>
      <c r="B142" s="82" t="s">
        <v>182</v>
      </c>
      <c r="C142" s="82" t="s">
        <v>200</v>
      </c>
      <c r="D142" s="67" t="s">
        <v>183</v>
      </c>
      <c r="E142" s="67" t="s">
        <v>183</v>
      </c>
      <c r="F142" s="45"/>
      <c r="G142" s="260">
        <f>G143</f>
        <v>0</v>
      </c>
      <c r="H142" s="260"/>
      <c r="I142" s="260"/>
      <c r="J142" s="260"/>
      <c r="K142" s="260">
        <f>K143</f>
        <v>20</v>
      </c>
      <c r="L142" s="260">
        <f>L143</f>
        <v>5</v>
      </c>
      <c r="M142" s="260">
        <f>M143</f>
        <v>0</v>
      </c>
      <c r="N142" s="260"/>
      <c r="O142" s="27"/>
    </row>
    <row r="143" spans="1:15" s="71" customFormat="1" ht="37.5" customHeight="1" x14ac:dyDescent="0.25">
      <c r="A143" s="83" t="s">
        <v>201</v>
      </c>
      <c r="B143" s="83" t="s">
        <v>202</v>
      </c>
      <c r="C143" s="83" t="s">
        <v>203</v>
      </c>
      <c r="D143" s="84" t="s">
        <v>184</v>
      </c>
      <c r="E143" s="44"/>
      <c r="F143" s="45" t="s">
        <v>262</v>
      </c>
      <c r="G143" s="260"/>
      <c r="H143" s="260"/>
      <c r="I143" s="260"/>
      <c r="J143" s="260"/>
      <c r="K143" s="260">
        <v>20</v>
      </c>
      <c r="L143" s="260">
        <v>5</v>
      </c>
      <c r="M143" s="260">
        <v>0</v>
      </c>
      <c r="N143" s="260"/>
      <c r="O143" s="70"/>
    </row>
    <row r="144" spans="1:15" s="232" customFormat="1" ht="48" customHeight="1" x14ac:dyDescent="0.25">
      <c r="A144" s="230" t="s">
        <v>216</v>
      </c>
      <c r="B144" s="230" t="s">
        <v>217</v>
      </c>
      <c r="C144" s="230" t="s">
        <v>37</v>
      </c>
      <c r="D144" s="211" t="s">
        <v>194</v>
      </c>
      <c r="E144" s="214"/>
      <c r="F144" s="215" t="s">
        <v>346</v>
      </c>
      <c r="G144" s="271"/>
      <c r="H144" s="271"/>
      <c r="I144" s="271"/>
      <c r="J144" s="271"/>
      <c r="K144" s="271">
        <f>K145+K146</f>
        <v>825</v>
      </c>
      <c r="L144" s="271">
        <f>L145+L146</f>
        <v>248</v>
      </c>
      <c r="M144" s="271">
        <f>M145+M146</f>
        <v>85.161240000000006</v>
      </c>
      <c r="N144" s="271">
        <f>M144/K144*100</f>
        <v>10.322574545454547</v>
      </c>
      <c r="O144" s="231"/>
    </row>
    <row r="145" spans="1:15" s="71" customFormat="1" ht="53.25" customHeight="1" x14ac:dyDescent="0.25">
      <c r="A145" s="83"/>
      <c r="B145" s="83"/>
      <c r="C145" s="83"/>
      <c r="D145" s="229"/>
      <c r="E145" s="44"/>
      <c r="F145" s="45" t="s">
        <v>339</v>
      </c>
      <c r="G145" s="260"/>
      <c r="H145" s="260"/>
      <c r="I145" s="260"/>
      <c r="J145" s="260"/>
      <c r="K145" s="260">
        <v>325</v>
      </c>
      <c r="L145" s="260">
        <v>98</v>
      </c>
      <c r="M145" s="260">
        <v>85.161240000000006</v>
      </c>
      <c r="N145" s="260"/>
      <c r="O145" s="70"/>
    </row>
    <row r="146" spans="1:15" s="71" customFormat="1" ht="53.25" customHeight="1" x14ac:dyDescent="0.25">
      <c r="A146" s="83"/>
      <c r="B146" s="83"/>
      <c r="C146" s="83"/>
      <c r="D146" s="229"/>
      <c r="E146" s="44"/>
      <c r="F146" s="45" t="s">
        <v>340</v>
      </c>
      <c r="G146" s="260"/>
      <c r="H146" s="260"/>
      <c r="I146" s="260"/>
      <c r="J146" s="260"/>
      <c r="K146" s="260">
        <v>500</v>
      </c>
      <c r="L146" s="260">
        <v>150</v>
      </c>
      <c r="M146" s="260">
        <v>0</v>
      </c>
      <c r="N146" s="260"/>
      <c r="O146" s="70"/>
    </row>
    <row r="147" spans="1:15" s="10" customFormat="1" ht="29.25" customHeight="1" x14ac:dyDescent="0.25">
      <c r="A147" s="82" t="s">
        <v>204</v>
      </c>
      <c r="B147" s="82" t="s">
        <v>128</v>
      </c>
      <c r="C147" s="82" t="s">
        <v>205</v>
      </c>
      <c r="D147" s="213" t="s">
        <v>206</v>
      </c>
      <c r="E147" s="214"/>
      <c r="F147" s="215"/>
      <c r="G147" s="271">
        <f>SUM(G148:G150)</f>
        <v>0</v>
      </c>
      <c r="H147" s="271"/>
      <c r="I147" s="271"/>
      <c r="J147" s="271"/>
      <c r="K147" s="271">
        <f>SUM(K148:K150)</f>
        <v>1936.3999999999999</v>
      </c>
      <c r="L147" s="271">
        <f>SUM(L148:L150)</f>
        <v>28.3</v>
      </c>
      <c r="M147" s="271">
        <f>SUM(M148:M150)</f>
        <v>0</v>
      </c>
      <c r="N147" s="271"/>
      <c r="O147" s="27"/>
    </row>
    <row r="148" spans="1:15" s="71" customFormat="1" ht="42" customHeight="1" x14ac:dyDescent="0.25">
      <c r="A148" s="83"/>
      <c r="B148" s="83"/>
      <c r="C148" s="83"/>
      <c r="D148" s="81" t="s">
        <v>178</v>
      </c>
      <c r="E148" s="67" t="s">
        <v>207</v>
      </c>
      <c r="F148" s="67" t="s">
        <v>295</v>
      </c>
      <c r="G148" s="260"/>
      <c r="H148" s="260"/>
      <c r="I148" s="260"/>
      <c r="J148" s="260"/>
      <c r="K148" s="273">
        <v>1808.1</v>
      </c>
      <c r="L148" s="273">
        <v>0</v>
      </c>
      <c r="M148" s="273">
        <v>0</v>
      </c>
      <c r="N148" s="273"/>
      <c r="O148" s="70"/>
    </row>
    <row r="149" spans="1:15" s="71" customFormat="1" ht="42.75" customHeight="1" x14ac:dyDescent="0.25">
      <c r="A149" s="83"/>
      <c r="B149" s="83"/>
      <c r="C149" s="83"/>
      <c r="D149" s="81"/>
      <c r="E149" s="67"/>
      <c r="F149" s="67" t="s">
        <v>294</v>
      </c>
      <c r="G149" s="260"/>
      <c r="H149" s="260"/>
      <c r="I149" s="260"/>
      <c r="J149" s="260"/>
      <c r="K149" s="273">
        <v>100</v>
      </c>
      <c r="L149" s="273"/>
      <c r="M149" s="273"/>
      <c r="N149" s="273"/>
      <c r="O149" s="70"/>
    </row>
    <row r="150" spans="1:15" s="71" customFormat="1" ht="56.25" customHeight="1" x14ac:dyDescent="0.25">
      <c r="A150" s="83"/>
      <c r="B150" s="83"/>
      <c r="C150" s="83"/>
      <c r="D150" s="81"/>
      <c r="E150" s="67" t="s">
        <v>208</v>
      </c>
      <c r="F150" s="67" t="s">
        <v>208</v>
      </c>
      <c r="G150" s="260"/>
      <c r="H150" s="260"/>
      <c r="I150" s="260"/>
      <c r="J150" s="260"/>
      <c r="K150" s="273">
        <v>28.3</v>
      </c>
      <c r="L150" s="273">
        <v>28.3</v>
      </c>
      <c r="M150" s="273">
        <v>0</v>
      </c>
      <c r="N150" s="273"/>
      <c r="O150" s="70"/>
    </row>
    <row r="151" spans="1:15" s="10" customFormat="1" ht="100.5" customHeight="1" x14ac:dyDescent="0.25">
      <c r="A151" s="82" t="s">
        <v>209</v>
      </c>
      <c r="B151" s="82" t="s">
        <v>210</v>
      </c>
      <c r="C151" s="82" t="s">
        <v>211</v>
      </c>
      <c r="D151" s="67" t="s">
        <v>212</v>
      </c>
      <c r="E151" s="67"/>
      <c r="F151" s="211"/>
      <c r="G151" s="271">
        <f>SUM(G152:G154)</f>
        <v>0</v>
      </c>
      <c r="H151" s="271"/>
      <c r="I151" s="271"/>
      <c r="J151" s="271"/>
      <c r="K151" s="271">
        <f>SUM(K152:K154)</f>
        <v>6728.3</v>
      </c>
      <c r="L151" s="271">
        <f>SUM(L152:L154)</f>
        <v>28.3</v>
      </c>
      <c r="M151" s="271">
        <f>SUM(M152:M154)</f>
        <v>0</v>
      </c>
      <c r="N151" s="271"/>
      <c r="O151" s="27"/>
    </row>
    <row r="152" spans="1:15" s="71" customFormat="1" ht="53.25" customHeight="1" x14ac:dyDescent="0.25">
      <c r="A152" s="83"/>
      <c r="B152" s="83"/>
      <c r="C152" s="83"/>
      <c r="D152" s="81" t="s">
        <v>178</v>
      </c>
      <c r="E152" s="67" t="s">
        <v>213</v>
      </c>
      <c r="F152" s="67" t="s">
        <v>292</v>
      </c>
      <c r="G152" s="260"/>
      <c r="H152" s="260"/>
      <c r="I152" s="260"/>
      <c r="J152" s="260"/>
      <c r="K152" s="273">
        <v>3230.2</v>
      </c>
      <c r="L152" s="273"/>
      <c r="M152" s="273"/>
      <c r="N152" s="273"/>
      <c r="O152" s="70"/>
    </row>
    <row r="153" spans="1:15" s="71" customFormat="1" ht="42" customHeight="1" x14ac:dyDescent="0.25">
      <c r="A153" s="83"/>
      <c r="B153" s="83"/>
      <c r="C153" s="83"/>
      <c r="D153" s="81"/>
      <c r="E153" s="67"/>
      <c r="F153" s="67" t="s">
        <v>293</v>
      </c>
      <c r="G153" s="260"/>
      <c r="H153" s="260"/>
      <c r="I153" s="260"/>
      <c r="J153" s="260"/>
      <c r="K153" s="273">
        <v>3469.8</v>
      </c>
      <c r="L153" s="273"/>
      <c r="M153" s="273"/>
      <c r="N153" s="273"/>
      <c r="O153" s="70"/>
    </row>
    <row r="154" spans="1:15" s="71" customFormat="1" ht="53.25" customHeight="1" x14ac:dyDescent="0.25">
      <c r="A154" s="83"/>
      <c r="B154" s="83"/>
      <c r="C154" s="83"/>
      <c r="D154" s="67"/>
      <c r="E154" s="67" t="s">
        <v>214</v>
      </c>
      <c r="F154" s="67" t="s">
        <v>214</v>
      </c>
      <c r="G154" s="260"/>
      <c r="H154" s="260"/>
      <c r="I154" s="260"/>
      <c r="J154" s="260"/>
      <c r="K154" s="273">
        <v>28.3</v>
      </c>
      <c r="L154" s="273">
        <v>28.3</v>
      </c>
      <c r="M154" s="273"/>
      <c r="N154" s="273"/>
      <c r="O154" s="70"/>
    </row>
    <row r="155" spans="1:15" s="65" customFormat="1" ht="65.25" customHeight="1" x14ac:dyDescent="0.25">
      <c r="A155" s="21"/>
      <c r="B155" s="42"/>
      <c r="C155" s="42"/>
      <c r="D155" s="43"/>
      <c r="E155" s="43"/>
      <c r="F155" s="215" t="s">
        <v>215</v>
      </c>
      <c r="G155" s="270">
        <f>G156</f>
        <v>3289.3619999999996</v>
      </c>
      <c r="H155" s="270">
        <f>H156</f>
        <v>2826.2</v>
      </c>
      <c r="I155" s="270">
        <f>I156</f>
        <v>2688.674</v>
      </c>
      <c r="J155" s="270">
        <f>I155/G155*100</f>
        <v>81.738464784356367</v>
      </c>
      <c r="K155" s="270"/>
      <c r="L155" s="270"/>
      <c r="M155" s="270"/>
      <c r="N155" s="270"/>
      <c r="O155" s="14"/>
    </row>
    <row r="156" spans="1:15" s="10" customFormat="1" ht="34.5" customHeight="1" x14ac:dyDescent="0.25">
      <c r="A156" s="11" t="s">
        <v>216</v>
      </c>
      <c r="B156" s="11" t="s">
        <v>217</v>
      </c>
      <c r="C156" s="42">
        <v>490</v>
      </c>
      <c r="D156" s="43" t="s">
        <v>194</v>
      </c>
      <c r="E156" s="44"/>
      <c r="F156" s="63"/>
      <c r="G156" s="260">
        <f>SUM(G157:G162)</f>
        <v>3289.3619999999996</v>
      </c>
      <c r="H156" s="260">
        <f>SUM(H157:H162)</f>
        <v>2826.2</v>
      </c>
      <c r="I156" s="260">
        <f>SUM(I157:I162)</f>
        <v>2688.674</v>
      </c>
      <c r="J156" s="260"/>
      <c r="K156" s="260">
        <f>SUM(K157:K158)</f>
        <v>0</v>
      </c>
      <c r="L156" s="260"/>
      <c r="M156" s="260"/>
      <c r="N156" s="260"/>
      <c r="O156" s="27"/>
    </row>
    <row r="157" spans="1:15" s="10" customFormat="1" ht="97.5" customHeight="1" x14ac:dyDescent="0.25">
      <c r="A157" s="11"/>
      <c r="B157" s="11"/>
      <c r="C157" s="42"/>
      <c r="D157" s="80" t="s">
        <v>178</v>
      </c>
      <c r="E157" s="44"/>
      <c r="F157" s="45" t="s">
        <v>366</v>
      </c>
      <c r="G157" s="260">
        <v>78.2</v>
      </c>
      <c r="H157" s="260">
        <v>16.2</v>
      </c>
      <c r="I157" s="260">
        <v>15.493</v>
      </c>
      <c r="J157" s="260"/>
      <c r="K157" s="260"/>
      <c r="L157" s="260"/>
      <c r="M157" s="260"/>
      <c r="N157" s="260"/>
      <c r="O157" s="27"/>
    </row>
    <row r="158" spans="1:15" s="10" customFormat="1" ht="102" customHeight="1" x14ac:dyDescent="0.25">
      <c r="A158" s="11"/>
      <c r="B158" s="11"/>
      <c r="C158" s="42"/>
      <c r="D158" s="43"/>
      <c r="E158" s="44"/>
      <c r="F158" s="16" t="s">
        <v>276</v>
      </c>
      <c r="G158" s="260">
        <v>2420</v>
      </c>
      <c r="H158" s="260">
        <v>2420</v>
      </c>
      <c r="I158" s="260">
        <v>2420</v>
      </c>
      <c r="J158" s="260"/>
      <c r="K158" s="260"/>
      <c r="L158" s="260"/>
      <c r="M158" s="260"/>
      <c r="N158" s="260"/>
      <c r="O158" s="27"/>
    </row>
    <row r="159" spans="1:15" s="10" customFormat="1" ht="75.75" customHeight="1" x14ac:dyDescent="0.25">
      <c r="A159" s="11"/>
      <c r="B159" s="11"/>
      <c r="C159" s="42"/>
      <c r="D159" s="43"/>
      <c r="E159" s="44"/>
      <c r="F159" s="16" t="s">
        <v>341</v>
      </c>
      <c r="G159" s="260">
        <v>251.16200000000001</v>
      </c>
      <c r="H159" s="260">
        <v>0</v>
      </c>
      <c r="I159" s="260">
        <v>0</v>
      </c>
      <c r="J159" s="260"/>
      <c r="K159" s="260"/>
      <c r="L159" s="260"/>
      <c r="M159" s="260"/>
      <c r="N159" s="260"/>
      <c r="O159" s="27"/>
    </row>
    <row r="160" spans="1:15" s="10" customFormat="1" ht="68.25" customHeight="1" x14ac:dyDescent="0.25">
      <c r="A160" s="11"/>
      <c r="B160" s="11"/>
      <c r="C160" s="42"/>
      <c r="D160" s="43"/>
      <c r="E160" s="44"/>
      <c r="F160" s="16" t="s">
        <v>342</v>
      </c>
      <c r="G160" s="260">
        <v>195</v>
      </c>
      <c r="H160" s="260">
        <v>195</v>
      </c>
      <c r="I160" s="260">
        <v>194.98099999999999</v>
      </c>
      <c r="J160" s="260"/>
      <c r="K160" s="260"/>
      <c r="L160" s="260"/>
      <c r="M160" s="260"/>
      <c r="N160" s="260"/>
      <c r="O160" s="27"/>
    </row>
    <row r="161" spans="1:15" s="10" customFormat="1" ht="121.5" customHeight="1" x14ac:dyDescent="0.25">
      <c r="A161" s="11"/>
      <c r="B161" s="11"/>
      <c r="C161" s="42"/>
      <c r="D161" s="43"/>
      <c r="E161" s="44"/>
      <c r="F161" s="16" t="s">
        <v>343</v>
      </c>
      <c r="G161" s="260">
        <v>195</v>
      </c>
      <c r="H161" s="260">
        <v>195</v>
      </c>
      <c r="I161" s="260">
        <v>58.2</v>
      </c>
      <c r="J161" s="260"/>
      <c r="K161" s="260"/>
      <c r="L161" s="260"/>
      <c r="M161" s="260"/>
      <c r="N161" s="260"/>
      <c r="O161" s="27"/>
    </row>
    <row r="162" spans="1:15" s="10" customFormat="1" ht="73.5" customHeight="1" x14ac:dyDescent="0.25">
      <c r="A162" s="11"/>
      <c r="B162" s="11"/>
      <c r="C162" s="42"/>
      <c r="D162" s="43"/>
      <c r="E162" s="44"/>
      <c r="F162" s="16" t="s">
        <v>344</v>
      </c>
      <c r="G162" s="260">
        <v>150</v>
      </c>
      <c r="H162" s="260">
        <v>0</v>
      </c>
      <c r="I162" s="260">
        <v>0</v>
      </c>
      <c r="J162" s="260"/>
      <c r="K162" s="260"/>
      <c r="L162" s="260"/>
      <c r="M162" s="260"/>
      <c r="N162" s="260"/>
      <c r="O162" s="27"/>
    </row>
    <row r="163" spans="1:15" s="242" customFormat="1" ht="55.5" customHeight="1" x14ac:dyDescent="0.25">
      <c r="A163" s="239"/>
      <c r="B163" s="240"/>
      <c r="C163" s="240"/>
      <c r="D163" s="211"/>
      <c r="E163" s="211"/>
      <c r="F163" s="210" t="s">
        <v>218</v>
      </c>
      <c r="G163" s="279">
        <f>G164+G165</f>
        <v>240</v>
      </c>
      <c r="H163" s="279">
        <f t="shared" ref="H163:I163" si="13">H164+H165</f>
        <v>211.7</v>
      </c>
      <c r="I163" s="279">
        <f t="shared" si="13"/>
        <v>211.62899999999999</v>
      </c>
      <c r="J163" s="270">
        <f>I163/G163*100</f>
        <v>88.178749999999994</v>
      </c>
      <c r="K163" s="270">
        <f>K164+K165</f>
        <v>435</v>
      </c>
      <c r="L163" s="270">
        <f>L164+L165</f>
        <v>0</v>
      </c>
      <c r="M163" s="270">
        <f>M164+M165</f>
        <v>0</v>
      </c>
      <c r="N163" s="270">
        <f>M163/K163*100</f>
        <v>0</v>
      </c>
      <c r="O163" s="241"/>
    </row>
    <row r="164" spans="1:15" s="65" customFormat="1" ht="69" customHeight="1" x14ac:dyDescent="0.25">
      <c r="A164" s="11" t="s">
        <v>188</v>
      </c>
      <c r="B164" s="11" t="s">
        <v>189</v>
      </c>
      <c r="C164" s="11" t="s">
        <v>190</v>
      </c>
      <c r="D164" s="43" t="s">
        <v>191</v>
      </c>
      <c r="E164" s="67"/>
      <c r="F164" s="43" t="s">
        <v>320</v>
      </c>
      <c r="G164" s="261"/>
      <c r="H164" s="261"/>
      <c r="I164" s="261"/>
      <c r="J164" s="261"/>
      <c r="K164" s="260">
        <v>435</v>
      </c>
      <c r="L164" s="260">
        <v>0</v>
      </c>
      <c r="M164" s="260">
        <v>0</v>
      </c>
      <c r="N164" s="261"/>
      <c r="O164" s="14"/>
    </row>
    <row r="165" spans="1:15" s="65" customFormat="1" ht="78" customHeight="1" x14ac:dyDescent="0.25">
      <c r="A165" s="42">
        <v>4016060</v>
      </c>
      <c r="B165" s="21" t="s">
        <v>199</v>
      </c>
      <c r="C165" s="21" t="s">
        <v>190</v>
      </c>
      <c r="D165" s="67" t="s">
        <v>192</v>
      </c>
      <c r="E165" s="43"/>
      <c r="F165" s="16" t="s">
        <v>219</v>
      </c>
      <c r="G165" s="278">
        <v>240</v>
      </c>
      <c r="H165" s="278">
        <v>211.7</v>
      </c>
      <c r="I165" s="278">
        <v>211.62899999999999</v>
      </c>
      <c r="J165" s="260"/>
      <c r="K165" s="260"/>
      <c r="L165" s="260"/>
      <c r="M165" s="260"/>
      <c r="N165" s="260"/>
      <c r="O165" s="14"/>
    </row>
    <row r="166" spans="1:15" s="242" customFormat="1" ht="58.5" customHeight="1" x14ac:dyDescent="0.25">
      <c r="A166" s="243"/>
      <c r="B166" s="243"/>
      <c r="C166" s="243"/>
      <c r="D166" s="244"/>
      <c r="E166" s="210"/>
      <c r="F166" s="215" t="s">
        <v>277</v>
      </c>
      <c r="G166" s="270">
        <f>G167</f>
        <v>9</v>
      </c>
      <c r="H166" s="270">
        <f t="shared" ref="H166:I166" si="14">H167</f>
        <v>2</v>
      </c>
      <c r="I166" s="270">
        <f t="shared" si="14"/>
        <v>0.57699999999999996</v>
      </c>
      <c r="J166" s="270"/>
      <c r="K166" s="270"/>
      <c r="L166" s="270"/>
      <c r="M166" s="270"/>
      <c r="N166" s="270"/>
      <c r="O166" s="241"/>
    </row>
    <row r="167" spans="1:15" s="65" customFormat="1" ht="42.75" customHeight="1" x14ac:dyDescent="0.25">
      <c r="A167" s="11" t="s">
        <v>216</v>
      </c>
      <c r="B167" s="11" t="s">
        <v>217</v>
      </c>
      <c r="C167" s="11" t="s">
        <v>37</v>
      </c>
      <c r="D167" s="85" t="s">
        <v>220</v>
      </c>
      <c r="E167" s="43"/>
      <c r="F167" s="43" t="s">
        <v>221</v>
      </c>
      <c r="G167" s="260">
        <v>9</v>
      </c>
      <c r="H167" s="260">
        <v>2</v>
      </c>
      <c r="I167" s="260">
        <v>0.57699999999999996</v>
      </c>
      <c r="J167" s="260"/>
      <c r="K167" s="260"/>
      <c r="L167" s="260"/>
      <c r="M167" s="260"/>
      <c r="N167" s="260"/>
      <c r="O167" s="14"/>
    </row>
    <row r="168" spans="1:15" s="65" customFormat="1" ht="53.25" customHeight="1" x14ac:dyDescent="0.25">
      <c r="A168" s="42"/>
      <c r="B168" s="21"/>
      <c r="C168" s="21"/>
      <c r="D168" s="67"/>
      <c r="E168" s="43"/>
      <c r="F168" s="215" t="s">
        <v>222</v>
      </c>
      <c r="G168" s="270">
        <f>G169</f>
        <v>130</v>
      </c>
      <c r="H168" s="270">
        <f t="shared" ref="H168:I168" si="15">H169</f>
        <v>30</v>
      </c>
      <c r="I168" s="270">
        <f t="shared" si="15"/>
        <v>0</v>
      </c>
      <c r="J168" s="270">
        <f>I168/G168*100</f>
        <v>0</v>
      </c>
      <c r="K168" s="270">
        <f>K170</f>
        <v>70</v>
      </c>
      <c r="L168" s="270">
        <f>L170</f>
        <v>70</v>
      </c>
      <c r="M168" s="270">
        <v>0</v>
      </c>
      <c r="N168" s="270">
        <f>M168/K168*100</f>
        <v>0</v>
      </c>
      <c r="O168" s="14"/>
    </row>
    <row r="169" spans="1:15" s="10" customFormat="1" ht="66.75" customHeight="1" x14ac:dyDescent="0.25">
      <c r="A169" s="42">
        <v>4016060</v>
      </c>
      <c r="B169" s="21" t="s">
        <v>199</v>
      </c>
      <c r="C169" s="21" t="s">
        <v>190</v>
      </c>
      <c r="D169" s="67" t="s">
        <v>192</v>
      </c>
      <c r="E169" s="44"/>
      <c r="F169" s="16" t="s">
        <v>267</v>
      </c>
      <c r="G169" s="260">
        <v>130</v>
      </c>
      <c r="H169" s="260">
        <v>30</v>
      </c>
      <c r="I169" s="260">
        <v>0</v>
      </c>
      <c r="J169" s="260"/>
      <c r="K169" s="260"/>
      <c r="L169" s="260"/>
      <c r="M169" s="260"/>
      <c r="N169" s="260"/>
      <c r="O169" s="27"/>
    </row>
    <row r="170" spans="1:15" s="10" customFormat="1" ht="81.75" customHeight="1" x14ac:dyDescent="0.25">
      <c r="A170" s="42"/>
      <c r="B170" s="21"/>
      <c r="C170" s="21"/>
      <c r="D170" s="67"/>
      <c r="E170" s="44"/>
      <c r="F170" s="16" t="s">
        <v>223</v>
      </c>
      <c r="G170" s="260"/>
      <c r="H170" s="260"/>
      <c r="I170" s="260"/>
      <c r="J170" s="260"/>
      <c r="K170" s="260">
        <v>70</v>
      </c>
      <c r="L170" s="260">
        <v>70</v>
      </c>
      <c r="M170" s="260">
        <v>0</v>
      </c>
      <c r="N170" s="260"/>
      <c r="O170" s="27"/>
    </row>
    <row r="171" spans="1:15" s="65" customFormat="1" ht="66.75" customHeight="1" x14ac:dyDescent="0.25">
      <c r="A171" s="42"/>
      <c r="B171" s="21"/>
      <c r="C171" s="21"/>
      <c r="D171" s="43"/>
      <c r="E171" s="43"/>
      <c r="F171" s="215" t="s">
        <v>278</v>
      </c>
      <c r="G171" s="279">
        <f>G172+G173+G174+G175</f>
        <v>603.88</v>
      </c>
      <c r="H171" s="279">
        <f>H172+H173+H174+H175</f>
        <v>159</v>
      </c>
      <c r="I171" s="279">
        <f>I172+I173+I174+I175</f>
        <v>124.75669000000001</v>
      </c>
      <c r="J171" s="270"/>
      <c r="K171" s="270">
        <f>-K172+K173+K174</f>
        <v>42.87</v>
      </c>
      <c r="L171" s="270">
        <f>-L172+L173+L174</f>
        <v>0</v>
      </c>
      <c r="M171" s="270">
        <f>-M172+M173+M174</f>
        <v>0</v>
      </c>
      <c r="N171" s="270"/>
      <c r="O171" s="14"/>
    </row>
    <row r="172" spans="1:15" s="65" customFormat="1" ht="62.25" customHeight="1" x14ac:dyDescent="0.25">
      <c r="A172" s="42">
        <v>4016060</v>
      </c>
      <c r="B172" s="21" t="s">
        <v>199</v>
      </c>
      <c r="C172" s="21" t="s">
        <v>190</v>
      </c>
      <c r="D172" s="43" t="s">
        <v>224</v>
      </c>
      <c r="E172" s="43"/>
      <c r="F172" s="45" t="s">
        <v>225</v>
      </c>
      <c r="G172" s="278">
        <v>400</v>
      </c>
      <c r="H172" s="278">
        <f>15+100</f>
        <v>115</v>
      </c>
      <c r="I172" s="278">
        <v>100.83069</v>
      </c>
      <c r="J172" s="260"/>
      <c r="K172" s="260"/>
      <c r="L172" s="260"/>
      <c r="M172" s="260"/>
      <c r="N172" s="260"/>
      <c r="O172" s="14"/>
    </row>
    <row r="173" spans="1:15" s="65" customFormat="1" ht="57" customHeight="1" x14ac:dyDescent="0.25">
      <c r="A173" s="42">
        <v>4017420</v>
      </c>
      <c r="B173" s="21" t="s">
        <v>217</v>
      </c>
      <c r="C173" s="21" t="s">
        <v>37</v>
      </c>
      <c r="D173" s="85" t="s">
        <v>194</v>
      </c>
      <c r="E173" s="43"/>
      <c r="F173" s="45" t="s">
        <v>226</v>
      </c>
      <c r="G173" s="278">
        <v>200</v>
      </c>
      <c r="H173" s="278">
        <v>44</v>
      </c>
      <c r="I173" s="278">
        <v>23.925999999999998</v>
      </c>
      <c r="J173" s="260"/>
      <c r="K173" s="260"/>
      <c r="L173" s="260"/>
      <c r="M173" s="260"/>
      <c r="N173" s="260"/>
      <c r="O173" s="14"/>
    </row>
    <row r="174" spans="1:15" s="65" customFormat="1" ht="36.75" customHeight="1" x14ac:dyDescent="0.25">
      <c r="A174" s="42"/>
      <c r="B174" s="21"/>
      <c r="C174" s="21"/>
      <c r="D174" s="85"/>
      <c r="E174" s="43"/>
      <c r="F174" s="45" t="s">
        <v>367</v>
      </c>
      <c r="G174" s="278"/>
      <c r="H174" s="278"/>
      <c r="I174" s="278"/>
      <c r="J174" s="260"/>
      <c r="K174" s="260">
        <v>42.87</v>
      </c>
      <c r="L174" s="260">
        <v>0</v>
      </c>
      <c r="M174" s="260">
        <v>0</v>
      </c>
      <c r="N174" s="260"/>
      <c r="O174" s="14"/>
    </row>
    <row r="175" spans="1:15" s="65" customFormat="1" ht="59.25" customHeight="1" x14ac:dyDescent="0.25">
      <c r="A175" s="42"/>
      <c r="B175" s="21"/>
      <c r="C175" s="21"/>
      <c r="D175" s="85"/>
      <c r="E175" s="43"/>
      <c r="F175" s="45" t="s">
        <v>368</v>
      </c>
      <c r="G175" s="278">
        <v>3.88</v>
      </c>
      <c r="H175" s="278">
        <v>0</v>
      </c>
      <c r="I175" s="278">
        <v>0</v>
      </c>
      <c r="J175" s="260"/>
      <c r="K175" s="260"/>
      <c r="L175" s="260"/>
      <c r="M175" s="260"/>
      <c r="N175" s="260"/>
      <c r="O175" s="14"/>
    </row>
    <row r="176" spans="1:15" s="242" customFormat="1" ht="44.25" customHeight="1" x14ac:dyDescent="0.25">
      <c r="A176" s="239"/>
      <c r="B176" s="240"/>
      <c r="C176" s="240"/>
      <c r="D176" s="244"/>
      <c r="E176" s="210"/>
      <c r="F176" s="245" t="s">
        <v>345</v>
      </c>
      <c r="G176" s="271">
        <f>G178+G177</f>
        <v>300</v>
      </c>
      <c r="H176" s="271">
        <f>H178+H177</f>
        <v>0</v>
      </c>
      <c r="I176" s="271">
        <f t="shared" ref="I176" si="16">I178</f>
        <v>0</v>
      </c>
      <c r="J176" s="271">
        <f>I176/G176*100</f>
        <v>0</v>
      </c>
      <c r="K176" s="271">
        <f>K177+K178</f>
        <v>1500</v>
      </c>
      <c r="L176" s="271">
        <f>L177+L178</f>
        <v>0</v>
      </c>
      <c r="M176" s="271">
        <f>M177+M178</f>
        <v>0</v>
      </c>
      <c r="N176" s="271">
        <f>M176/K176*100</f>
        <v>0</v>
      </c>
      <c r="O176" s="241"/>
    </row>
    <row r="177" spans="1:15" s="65" customFormat="1" ht="47.25" customHeight="1" x14ac:dyDescent="0.25">
      <c r="A177" s="42"/>
      <c r="B177" s="21"/>
      <c r="C177" s="21"/>
      <c r="D177" s="85"/>
      <c r="E177" s="43"/>
      <c r="F177" s="45" t="s">
        <v>369</v>
      </c>
      <c r="G177" s="260"/>
      <c r="H177" s="260"/>
      <c r="I177" s="260"/>
      <c r="J177" s="260"/>
      <c r="K177" s="260">
        <v>1500</v>
      </c>
      <c r="L177" s="260">
        <v>0</v>
      </c>
      <c r="M177" s="260">
        <v>0</v>
      </c>
      <c r="N177" s="260"/>
      <c r="O177" s="14"/>
    </row>
    <row r="178" spans="1:15" s="65" customFormat="1" ht="32.25" customHeight="1" x14ac:dyDescent="0.25">
      <c r="A178" s="42"/>
      <c r="B178" s="21"/>
      <c r="C178" s="21"/>
      <c r="D178" s="85"/>
      <c r="E178" s="43"/>
      <c r="F178" s="45" t="s">
        <v>370</v>
      </c>
      <c r="G178" s="260">
        <v>300</v>
      </c>
      <c r="H178" s="260">
        <v>0</v>
      </c>
      <c r="I178" s="260">
        <v>0</v>
      </c>
      <c r="J178" s="260"/>
      <c r="K178" s="260"/>
      <c r="L178" s="260"/>
      <c r="M178" s="260"/>
      <c r="N178" s="260"/>
      <c r="O178" s="14"/>
    </row>
    <row r="179" spans="1:15" s="249" customFormat="1" ht="56.25" customHeight="1" x14ac:dyDescent="0.25">
      <c r="A179" s="246"/>
      <c r="B179" s="247"/>
      <c r="C179" s="247"/>
      <c r="D179" s="210"/>
      <c r="E179" s="214"/>
      <c r="F179" s="248" t="s">
        <v>291</v>
      </c>
      <c r="G179" s="270">
        <f>G180+G181+G184</f>
        <v>1000</v>
      </c>
      <c r="H179" s="270">
        <f>H180+H181+H184</f>
        <v>620</v>
      </c>
      <c r="I179" s="270">
        <f>I180+I181+I184</f>
        <v>524.03399999999999</v>
      </c>
      <c r="J179" s="270">
        <f>I179/G179*100</f>
        <v>52.403399999999998</v>
      </c>
      <c r="K179" s="270">
        <f>K180+K181+K184</f>
        <v>4210</v>
      </c>
      <c r="L179" s="270">
        <f>L180+L181+L184</f>
        <v>180</v>
      </c>
      <c r="M179" s="270">
        <f>M180+M181+M184</f>
        <v>8.27393</v>
      </c>
      <c r="N179" s="270">
        <f>M179/K179*100</f>
        <v>0.19653040380047507</v>
      </c>
      <c r="O179" s="231"/>
    </row>
    <row r="180" spans="1:15" s="19" customFormat="1" ht="68.25" customHeight="1" x14ac:dyDescent="0.25">
      <c r="A180" s="42">
        <v>4016010</v>
      </c>
      <c r="B180" s="24" t="s">
        <v>227</v>
      </c>
      <c r="C180" s="24" t="s">
        <v>203</v>
      </c>
      <c r="D180" s="43" t="s">
        <v>228</v>
      </c>
      <c r="E180" s="44"/>
      <c r="F180" s="88" t="s">
        <v>229</v>
      </c>
      <c r="G180" s="260">
        <v>1000</v>
      </c>
      <c r="H180" s="260">
        <v>620</v>
      </c>
      <c r="I180" s="260">
        <v>524.03399999999999</v>
      </c>
      <c r="J180" s="260"/>
      <c r="K180" s="260"/>
      <c r="L180" s="260"/>
      <c r="M180" s="260"/>
      <c r="N180" s="260"/>
      <c r="O180" s="87"/>
    </row>
    <row r="181" spans="1:15" s="19" customFormat="1" ht="39" customHeight="1" x14ac:dyDescent="0.25">
      <c r="A181" s="11" t="s">
        <v>181</v>
      </c>
      <c r="B181" s="11" t="s">
        <v>182</v>
      </c>
      <c r="C181" s="21" t="s">
        <v>203</v>
      </c>
      <c r="D181" s="67" t="s">
        <v>183</v>
      </c>
      <c r="E181" s="44"/>
      <c r="F181" s="86"/>
      <c r="G181" s="260">
        <f>G182</f>
        <v>0</v>
      </c>
      <c r="H181" s="260"/>
      <c r="I181" s="260"/>
      <c r="J181" s="260"/>
      <c r="K181" s="260">
        <f>SUM(K182:K183)</f>
        <v>2610</v>
      </c>
      <c r="L181" s="260">
        <f>SUM(L182:L183)</f>
        <v>180</v>
      </c>
      <c r="M181" s="260">
        <f>SUM(M182:M183)</f>
        <v>8.27393</v>
      </c>
      <c r="N181" s="260">
        <f>M181/K181*100</f>
        <v>0.3170088122605364</v>
      </c>
      <c r="O181" s="87"/>
    </row>
    <row r="182" spans="1:15" s="227" customFormat="1" ht="78" customHeight="1" x14ac:dyDescent="0.25">
      <c r="A182" s="154" t="s">
        <v>230</v>
      </c>
      <c r="B182" s="154" t="s">
        <v>279</v>
      </c>
      <c r="C182" s="24" t="s">
        <v>203</v>
      </c>
      <c r="D182" s="43" t="s">
        <v>231</v>
      </c>
      <c r="E182" s="43" t="s">
        <v>231</v>
      </c>
      <c r="F182" s="67" t="s">
        <v>268</v>
      </c>
      <c r="G182" s="260"/>
      <c r="H182" s="260"/>
      <c r="I182" s="260"/>
      <c r="J182" s="260"/>
      <c r="K182" s="273">
        <f>1710</f>
        <v>1710</v>
      </c>
      <c r="L182" s="273"/>
      <c r="M182" s="273"/>
      <c r="N182" s="273"/>
      <c r="O182" s="226"/>
    </row>
    <row r="183" spans="1:15" s="227" customFormat="1" ht="54" customHeight="1" x14ac:dyDescent="0.25">
      <c r="A183" s="154"/>
      <c r="B183" s="154"/>
      <c r="C183" s="24"/>
      <c r="D183" s="43"/>
      <c r="E183" s="43"/>
      <c r="F183" s="67" t="s">
        <v>269</v>
      </c>
      <c r="G183" s="260"/>
      <c r="H183" s="260"/>
      <c r="I183" s="260"/>
      <c r="J183" s="260"/>
      <c r="K183" s="273">
        <v>900</v>
      </c>
      <c r="L183" s="273">
        <v>180</v>
      </c>
      <c r="M183" s="273">
        <v>8.27393</v>
      </c>
      <c r="N183" s="273"/>
      <c r="O183" s="226"/>
    </row>
    <row r="184" spans="1:15" s="227" customFormat="1" ht="35.25" customHeight="1" x14ac:dyDescent="0.25">
      <c r="A184" s="89">
        <v>4016310</v>
      </c>
      <c r="B184" s="24" t="s">
        <v>36</v>
      </c>
      <c r="C184" s="24" t="s">
        <v>37</v>
      </c>
      <c r="D184" s="43" t="s">
        <v>232</v>
      </c>
      <c r="E184" s="44"/>
      <c r="F184" s="43"/>
      <c r="G184" s="260">
        <f>SUM(G185:G186)</f>
        <v>0</v>
      </c>
      <c r="H184" s="260"/>
      <c r="I184" s="260"/>
      <c r="J184" s="260"/>
      <c r="K184" s="260">
        <f>SUM(K185:K186)</f>
        <v>1600</v>
      </c>
      <c r="L184" s="260">
        <f>SUM(L185:L186)</f>
        <v>0</v>
      </c>
      <c r="M184" s="260">
        <f>SUM(M185:M186)</f>
        <v>0</v>
      </c>
      <c r="N184" s="260">
        <f>M184/K184*100</f>
        <v>0</v>
      </c>
      <c r="O184" s="226"/>
    </row>
    <row r="185" spans="1:15" s="19" customFormat="1" ht="37.5" customHeight="1" x14ac:dyDescent="0.25">
      <c r="A185" s="89"/>
      <c r="B185" s="24"/>
      <c r="C185" s="24"/>
      <c r="D185" s="80" t="s">
        <v>178</v>
      </c>
      <c r="E185" s="44"/>
      <c r="F185" s="43" t="s">
        <v>270</v>
      </c>
      <c r="G185" s="260"/>
      <c r="H185" s="260"/>
      <c r="I185" s="260"/>
      <c r="J185" s="260"/>
      <c r="K185" s="260">
        <v>800</v>
      </c>
      <c r="L185" s="260"/>
      <c r="M185" s="260"/>
      <c r="N185" s="260"/>
      <c r="O185" s="87"/>
    </row>
    <row r="186" spans="1:15" s="19" customFormat="1" ht="72" customHeight="1" x14ac:dyDescent="0.25">
      <c r="A186" s="89"/>
      <c r="B186" s="24"/>
      <c r="C186" s="24"/>
      <c r="D186" s="43"/>
      <c r="E186" s="44"/>
      <c r="F186" s="43" t="s">
        <v>271</v>
      </c>
      <c r="G186" s="260"/>
      <c r="H186" s="260"/>
      <c r="I186" s="260"/>
      <c r="J186" s="260"/>
      <c r="K186" s="260">
        <v>800</v>
      </c>
      <c r="L186" s="260"/>
      <c r="M186" s="260"/>
      <c r="N186" s="260"/>
      <c r="O186" s="87"/>
    </row>
    <row r="187" spans="1:15" s="249" customFormat="1" ht="47.25" customHeight="1" x14ac:dyDescent="0.25">
      <c r="A187" s="250">
        <v>4016052</v>
      </c>
      <c r="B187" s="247" t="s">
        <v>189</v>
      </c>
      <c r="C187" s="247" t="s">
        <v>190</v>
      </c>
      <c r="D187" s="210" t="s">
        <v>191</v>
      </c>
      <c r="E187" s="214"/>
      <c r="F187" s="251" t="s">
        <v>322</v>
      </c>
      <c r="G187" s="270">
        <f>G188</f>
        <v>15</v>
      </c>
      <c r="H187" s="270">
        <f t="shared" ref="H187:I187" si="17">H188</f>
        <v>5</v>
      </c>
      <c r="I187" s="270">
        <f t="shared" si="17"/>
        <v>0</v>
      </c>
      <c r="J187" s="271">
        <f>I187/G187*100</f>
        <v>0</v>
      </c>
      <c r="K187" s="271"/>
      <c r="L187" s="271"/>
      <c r="M187" s="271"/>
      <c r="N187" s="271"/>
      <c r="O187" s="231"/>
    </row>
    <row r="188" spans="1:15" s="19" customFormat="1" ht="35.25" customHeight="1" x14ac:dyDescent="0.25">
      <c r="A188" s="89"/>
      <c r="B188" s="24"/>
      <c r="C188" s="24"/>
      <c r="D188" s="43"/>
      <c r="E188" s="44"/>
      <c r="F188" s="43" t="s">
        <v>321</v>
      </c>
      <c r="G188" s="260">
        <v>15</v>
      </c>
      <c r="H188" s="260">
        <v>5</v>
      </c>
      <c r="I188" s="260">
        <v>0</v>
      </c>
      <c r="J188" s="260"/>
      <c r="K188" s="260"/>
      <c r="L188" s="260"/>
      <c r="M188" s="260"/>
      <c r="N188" s="260"/>
      <c r="O188" s="87"/>
    </row>
    <row r="189" spans="1:15" s="249" customFormat="1" ht="66" customHeight="1" x14ac:dyDescent="0.25">
      <c r="A189" s="250">
        <v>4017810</v>
      </c>
      <c r="B189" s="247" t="s">
        <v>242</v>
      </c>
      <c r="C189" s="247" t="s">
        <v>243</v>
      </c>
      <c r="D189" s="210" t="s">
        <v>244</v>
      </c>
      <c r="E189" s="214"/>
      <c r="F189" s="252" t="s">
        <v>324</v>
      </c>
      <c r="G189" s="271">
        <f>G190</f>
        <v>150</v>
      </c>
      <c r="H189" s="271">
        <v>0</v>
      </c>
      <c r="I189" s="271">
        <v>0</v>
      </c>
      <c r="J189" s="271">
        <f>I189/G189*100</f>
        <v>0</v>
      </c>
      <c r="K189" s="271"/>
      <c r="L189" s="271"/>
      <c r="M189" s="271"/>
      <c r="N189" s="271"/>
      <c r="O189" s="231"/>
    </row>
    <row r="190" spans="1:15" s="227" customFormat="1" ht="153.75" customHeight="1" x14ac:dyDescent="0.25">
      <c r="A190" s="89"/>
      <c r="B190" s="24"/>
      <c r="C190" s="24"/>
      <c r="D190" s="43"/>
      <c r="E190" s="44"/>
      <c r="F190" s="43" t="s">
        <v>323</v>
      </c>
      <c r="G190" s="260">
        <v>150</v>
      </c>
      <c r="H190" s="260"/>
      <c r="I190" s="260"/>
      <c r="J190" s="260"/>
      <c r="K190" s="260"/>
      <c r="L190" s="260"/>
      <c r="M190" s="260"/>
      <c r="N190" s="260"/>
      <c r="O190" s="226"/>
    </row>
    <row r="191" spans="1:15" s="19" customFormat="1" ht="36" customHeight="1" x14ac:dyDescent="0.25">
      <c r="A191" s="77"/>
      <c r="B191" s="24"/>
      <c r="C191" s="24"/>
      <c r="D191" s="198" t="s">
        <v>50</v>
      </c>
      <c r="E191" s="196"/>
      <c r="F191" s="204"/>
      <c r="G191" s="262">
        <f>G103+G137+G155+G163+G166+G168+G171+G179+G187+G189+G176</f>
        <v>24876.2</v>
      </c>
      <c r="H191" s="262">
        <f>H103+H137+H155+H163+H166+H168+H171+H179+H187+H189+H176</f>
        <v>8867.9880000000012</v>
      </c>
      <c r="I191" s="262">
        <f>I103+I137+I155+I163+I166+I168+I171+I179+I187+I189+I176</f>
        <v>7650.4206899999999</v>
      </c>
      <c r="J191" s="262">
        <f>I191/G191*100</f>
        <v>30.753976451387267</v>
      </c>
      <c r="K191" s="262">
        <f>K103+K137+K155+K163+K166+K168+K171+K179+K187+K189+K176</f>
        <v>39913.034</v>
      </c>
      <c r="L191" s="262">
        <f>L103+L137+L155+L163+L166+L168+L171+L179+L187+L189+L176</f>
        <v>4580.8919999999998</v>
      </c>
      <c r="M191" s="262">
        <f>M103+M137+M155+M163+M166+M168+M171+M179+M187+M189+M176</f>
        <v>193.75373000000002</v>
      </c>
      <c r="N191" s="262">
        <f>M191/K191*100</f>
        <v>0.48543974381902416</v>
      </c>
      <c r="O191" s="87"/>
    </row>
    <row r="192" spans="1:15" s="19" customFormat="1" ht="109.5" customHeight="1" x14ac:dyDescent="0.25">
      <c r="A192" s="169">
        <v>6000000</v>
      </c>
      <c r="B192" s="177"/>
      <c r="C192" s="177"/>
      <c r="D192" s="186" t="s">
        <v>233</v>
      </c>
      <c r="E192" s="190"/>
      <c r="F192" s="191"/>
      <c r="G192" s="267"/>
      <c r="H192" s="267"/>
      <c r="I192" s="267"/>
      <c r="J192" s="267"/>
      <c r="K192" s="267"/>
      <c r="L192" s="267"/>
      <c r="M192" s="267"/>
      <c r="N192" s="267"/>
      <c r="O192" s="87"/>
    </row>
    <row r="193" spans="1:15" s="19" customFormat="1" ht="81.75" customHeight="1" x14ac:dyDescent="0.25">
      <c r="A193" s="187">
        <v>6010000</v>
      </c>
      <c r="B193" s="177"/>
      <c r="C193" s="177"/>
      <c r="D193" s="188" t="s">
        <v>233</v>
      </c>
      <c r="E193" s="190"/>
      <c r="F193" s="191"/>
      <c r="G193" s="267"/>
      <c r="H193" s="267"/>
      <c r="I193" s="267"/>
      <c r="J193" s="267"/>
      <c r="K193" s="267"/>
      <c r="L193" s="267"/>
      <c r="M193" s="267"/>
      <c r="N193" s="267"/>
      <c r="O193" s="87"/>
    </row>
    <row r="194" spans="1:15" s="19" customFormat="1" ht="44.25" customHeight="1" x14ac:dyDescent="0.25">
      <c r="A194" s="77"/>
      <c r="B194" s="24"/>
      <c r="C194" s="24"/>
      <c r="D194" s="44"/>
      <c r="E194" s="44"/>
      <c r="F194" s="216" t="s">
        <v>272</v>
      </c>
      <c r="G194" s="274">
        <f>G195+G196+G197</f>
        <v>131.5</v>
      </c>
      <c r="H194" s="274">
        <f t="shared" ref="H194:M194" si="18">H195+H196+H197</f>
        <v>31.5</v>
      </c>
      <c r="I194" s="274">
        <f t="shared" si="18"/>
        <v>0</v>
      </c>
      <c r="J194" s="274">
        <f>I194/G194*100</f>
        <v>0</v>
      </c>
      <c r="K194" s="274">
        <f t="shared" si="18"/>
        <v>500</v>
      </c>
      <c r="L194" s="274">
        <f t="shared" si="18"/>
        <v>0</v>
      </c>
      <c r="M194" s="274">
        <f t="shared" si="18"/>
        <v>0</v>
      </c>
      <c r="N194" s="274">
        <f>M194/K194*100</f>
        <v>0</v>
      </c>
      <c r="O194" s="87"/>
    </row>
    <row r="195" spans="1:15" s="19" customFormat="1" ht="51.75" customHeight="1" x14ac:dyDescent="0.25">
      <c r="A195" s="11" t="s">
        <v>234</v>
      </c>
      <c r="B195" s="11" t="s">
        <v>235</v>
      </c>
      <c r="C195" s="24" t="s">
        <v>236</v>
      </c>
      <c r="D195" s="43" t="s">
        <v>237</v>
      </c>
      <c r="E195" s="44"/>
      <c r="F195" s="88" t="s">
        <v>238</v>
      </c>
      <c r="G195" s="260">
        <v>31.5</v>
      </c>
      <c r="H195" s="260">
        <f>31.5</f>
        <v>31.5</v>
      </c>
      <c r="I195" s="260">
        <v>0</v>
      </c>
      <c r="J195" s="260"/>
      <c r="K195" s="260"/>
      <c r="L195" s="260"/>
      <c r="M195" s="260"/>
      <c r="N195" s="260"/>
      <c r="O195" s="87"/>
    </row>
    <row r="196" spans="1:15" s="19" customFormat="1" ht="79.5" customHeight="1" x14ac:dyDescent="0.25">
      <c r="A196" s="11"/>
      <c r="B196" s="11"/>
      <c r="C196" s="24"/>
      <c r="D196" s="43"/>
      <c r="E196" s="44"/>
      <c r="F196" s="88" t="s">
        <v>307</v>
      </c>
      <c r="G196" s="260">
        <v>100</v>
      </c>
      <c r="H196" s="260">
        <v>0</v>
      </c>
      <c r="I196" s="260">
        <v>0</v>
      </c>
      <c r="J196" s="260"/>
      <c r="K196" s="260"/>
      <c r="L196" s="260"/>
      <c r="M196" s="260"/>
      <c r="N196" s="260"/>
      <c r="O196" s="87"/>
    </row>
    <row r="197" spans="1:15" s="51" customFormat="1" ht="82.5" customHeight="1" x14ac:dyDescent="0.25">
      <c r="A197" s="42">
        <v>6017420</v>
      </c>
      <c r="B197" s="21" t="s">
        <v>217</v>
      </c>
      <c r="C197" s="21" t="s">
        <v>37</v>
      </c>
      <c r="D197" s="43" t="s">
        <v>194</v>
      </c>
      <c r="E197" s="43"/>
      <c r="F197" s="88" t="s">
        <v>374</v>
      </c>
      <c r="G197" s="260"/>
      <c r="H197" s="260"/>
      <c r="I197" s="260"/>
      <c r="J197" s="260"/>
      <c r="K197" s="260">
        <v>500</v>
      </c>
      <c r="L197" s="260">
        <v>0</v>
      </c>
      <c r="M197" s="260">
        <v>0</v>
      </c>
      <c r="N197" s="260"/>
      <c r="O197" s="76"/>
    </row>
    <row r="198" spans="1:15" s="51" customFormat="1" ht="49.5" customHeight="1" x14ac:dyDescent="0.25">
      <c r="A198" s="42"/>
      <c r="B198" s="21"/>
      <c r="C198" s="21"/>
      <c r="D198" s="43"/>
      <c r="E198" s="43"/>
      <c r="F198" s="253" t="s">
        <v>308</v>
      </c>
      <c r="G198" s="275">
        <f t="shared" ref="G198:N198" si="19">G199+G200+G201</f>
        <v>135.72399999999999</v>
      </c>
      <c r="H198" s="275">
        <f t="shared" si="19"/>
        <v>0</v>
      </c>
      <c r="I198" s="275">
        <f t="shared" si="19"/>
        <v>0</v>
      </c>
      <c r="J198" s="275">
        <f t="shared" si="19"/>
        <v>0</v>
      </c>
      <c r="K198" s="275">
        <f t="shared" si="19"/>
        <v>180.17599999999999</v>
      </c>
      <c r="L198" s="275">
        <f t="shared" si="19"/>
        <v>35</v>
      </c>
      <c r="M198" s="275">
        <f t="shared" si="19"/>
        <v>33.884099999999997</v>
      </c>
      <c r="N198" s="275">
        <f t="shared" si="19"/>
        <v>24.202928571428568</v>
      </c>
      <c r="O198" s="76"/>
    </row>
    <row r="199" spans="1:15" s="51" customFormat="1" ht="46.5" customHeight="1" x14ac:dyDescent="0.25">
      <c r="A199" s="42">
        <v>6019110</v>
      </c>
      <c r="B199" s="21" t="s">
        <v>239</v>
      </c>
      <c r="C199" s="21" t="s">
        <v>240</v>
      </c>
      <c r="D199" s="43" t="s">
        <v>274</v>
      </c>
      <c r="E199" s="12"/>
      <c r="F199" s="43" t="s">
        <v>309</v>
      </c>
      <c r="G199" s="260"/>
      <c r="H199" s="260"/>
      <c r="I199" s="260"/>
      <c r="J199" s="260"/>
      <c r="K199" s="260">
        <v>140</v>
      </c>
      <c r="L199" s="260">
        <v>35</v>
      </c>
      <c r="M199" s="260">
        <v>33.884099999999997</v>
      </c>
      <c r="N199" s="260">
        <f>M199/K199*100</f>
        <v>24.202928571428568</v>
      </c>
      <c r="O199" s="14"/>
    </row>
    <row r="200" spans="1:15" s="51" customFormat="1" ht="96" customHeight="1" thickBot="1" x14ac:dyDescent="0.3">
      <c r="A200" s="42">
        <v>6019110</v>
      </c>
      <c r="B200" s="21" t="s">
        <v>239</v>
      </c>
      <c r="C200" s="21" t="s">
        <v>240</v>
      </c>
      <c r="D200" s="43" t="s">
        <v>274</v>
      </c>
      <c r="E200" s="12"/>
      <c r="F200" s="43" t="s">
        <v>305</v>
      </c>
      <c r="G200" s="260"/>
      <c r="H200" s="260"/>
      <c r="I200" s="260"/>
      <c r="J200" s="260"/>
      <c r="K200" s="260">
        <v>40.176000000000002</v>
      </c>
      <c r="L200" s="260">
        <v>0</v>
      </c>
      <c r="M200" s="260">
        <v>0</v>
      </c>
      <c r="N200" s="260">
        <f>M200/K200*100</f>
        <v>0</v>
      </c>
      <c r="O200" s="14"/>
    </row>
    <row r="201" spans="1:15" s="51" customFormat="1" ht="97.5" customHeight="1" thickBot="1" x14ac:dyDescent="0.3">
      <c r="A201" s="42">
        <v>6016060</v>
      </c>
      <c r="B201" s="21" t="s">
        <v>199</v>
      </c>
      <c r="C201" s="21" t="s">
        <v>190</v>
      </c>
      <c r="D201" s="225" t="s">
        <v>306</v>
      </c>
      <c r="E201" s="12"/>
      <c r="F201" s="43" t="s">
        <v>305</v>
      </c>
      <c r="G201" s="260">
        <v>135.72399999999999</v>
      </c>
      <c r="H201" s="260">
        <v>0</v>
      </c>
      <c r="I201" s="260">
        <v>0</v>
      </c>
      <c r="J201" s="260">
        <f>I201/G201*100</f>
        <v>0</v>
      </c>
      <c r="K201" s="260"/>
      <c r="L201" s="260"/>
      <c r="M201" s="260"/>
      <c r="N201" s="260"/>
      <c r="O201" s="14"/>
    </row>
    <row r="202" spans="1:15" s="32" customFormat="1" ht="27.75" customHeight="1" x14ac:dyDescent="0.25">
      <c r="A202" s="49"/>
      <c r="B202" s="49"/>
      <c r="C202" s="49"/>
      <c r="D202" s="198" t="s">
        <v>50</v>
      </c>
      <c r="E202" s="198"/>
      <c r="F202" s="198"/>
      <c r="G202" s="262">
        <f>G194+G198</f>
        <v>267.22399999999999</v>
      </c>
      <c r="H202" s="262">
        <f t="shared" ref="H202:N202" si="20">H194+H198</f>
        <v>31.5</v>
      </c>
      <c r="I202" s="262">
        <f t="shared" si="20"/>
        <v>0</v>
      </c>
      <c r="J202" s="262">
        <f t="shared" si="20"/>
        <v>0</v>
      </c>
      <c r="K202" s="262">
        <f t="shared" si="20"/>
        <v>680.17599999999993</v>
      </c>
      <c r="L202" s="262">
        <f t="shared" si="20"/>
        <v>35</v>
      </c>
      <c r="M202" s="262">
        <f t="shared" si="20"/>
        <v>33.884099999999997</v>
      </c>
      <c r="N202" s="262">
        <f t="shared" si="20"/>
        <v>24.202928571428568</v>
      </c>
      <c r="O202" s="90"/>
    </row>
    <row r="203" spans="1:15" s="51" customFormat="1" ht="100.5" customHeight="1" x14ac:dyDescent="0.25">
      <c r="A203" s="169">
        <v>6700000</v>
      </c>
      <c r="B203" s="192"/>
      <c r="C203" s="192"/>
      <c r="D203" s="181" t="s">
        <v>241</v>
      </c>
      <c r="E203" s="184"/>
      <c r="F203" s="173"/>
      <c r="G203" s="265"/>
      <c r="H203" s="265"/>
      <c r="I203" s="265"/>
      <c r="J203" s="265"/>
      <c r="K203" s="265"/>
      <c r="L203" s="265"/>
      <c r="M203" s="265"/>
      <c r="N203" s="265"/>
      <c r="O203" s="14"/>
    </row>
    <row r="204" spans="1:15" s="51" customFormat="1" ht="96" customHeight="1" x14ac:dyDescent="0.25">
      <c r="A204" s="187">
        <v>6710000</v>
      </c>
      <c r="B204" s="192"/>
      <c r="C204" s="192"/>
      <c r="D204" s="183" t="s">
        <v>241</v>
      </c>
      <c r="E204" s="184"/>
      <c r="F204" s="173"/>
      <c r="G204" s="265"/>
      <c r="H204" s="265"/>
      <c r="I204" s="265"/>
      <c r="J204" s="265"/>
      <c r="K204" s="265"/>
      <c r="L204" s="265"/>
      <c r="M204" s="265"/>
      <c r="N204" s="265"/>
      <c r="O204" s="14"/>
    </row>
    <row r="205" spans="1:15" s="51" customFormat="1" ht="94.5" customHeight="1" x14ac:dyDescent="0.25">
      <c r="A205" s="91">
        <v>6717810</v>
      </c>
      <c r="B205" s="49" t="s">
        <v>242</v>
      </c>
      <c r="C205" s="49" t="s">
        <v>243</v>
      </c>
      <c r="D205" s="67" t="s">
        <v>244</v>
      </c>
      <c r="E205" s="47"/>
      <c r="F205" s="13" t="s">
        <v>245</v>
      </c>
      <c r="G205" s="261">
        <f>208+0.3</f>
        <v>208.3</v>
      </c>
      <c r="H205" s="261">
        <v>9.5299999999999994</v>
      </c>
      <c r="I205" s="261">
        <v>7.9379999999999997</v>
      </c>
      <c r="J205" s="261"/>
      <c r="K205" s="261">
        <v>100</v>
      </c>
      <c r="L205" s="261"/>
      <c r="M205" s="261"/>
      <c r="N205" s="261"/>
      <c r="O205" s="14"/>
    </row>
    <row r="206" spans="1:15" s="51" customFormat="1" ht="69" customHeight="1" x14ac:dyDescent="0.25">
      <c r="A206" s="91"/>
      <c r="B206" s="49"/>
      <c r="C206" s="49"/>
      <c r="D206" s="67"/>
      <c r="E206" s="47"/>
      <c r="F206" s="13" t="s">
        <v>350</v>
      </c>
      <c r="G206" s="261">
        <f>G207+G208</f>
        <v>60</v>
      </c>
      <c r="H206" s="261">
        <f t="shared" ref="H206:N206" si="21">H207+H208</f>
        <v>0</v>
      </c>
      <c r="I206" s="261">
        <f t="shared" si="21"/>
        <v>0</v>
      </c>
      <c r="J206" s="261">
        <f t="shared" si="21"/>
        <v>0</v>
      </c>
      <c r="K206" s="261">
        <f t="shared" si="21"/>
        <v>203.624</v>
      </c>
      <c r="L206" s="261">
        <f t="shared" si="21"/>
        <v>203.624</v>
      </c>
      <c r="M206" s="261">
        <f t="shared" si="21"/>
        <v>0</v>
      </c>
      <c r="N206" s="261">
        <f t="shared" si="21"/>
        <v>0</v>
      </c>
      <c r="O206" s="14"/>
    </row>
    <row r="207" spans="1:15" s="51" customFormat="1" ht="49.5" customHeight="1" x14ac:dyDescent="0.3">
      <c r="A207" s="159" t="s">
        <v>351</v>
      </c>
      <c r="B207" s="159" t="s">
        <v>352</v>
      </c>
      <c r="C207" s="159" t="s">
        <v>353</v>
      </c>
      <c r="D207" s="236" t="s">
        <v>354</v>
      </c>
      <c r="E207" s="236"/>
      <c r="F207" s="236" t="s">
        <v>355</v>
      </c>
      <c r="G207" s="261">
        <v>60</v>
      </c>
      <c r="H207" s="261">
        <v>0</v>
      </c>
      <c r="I207" s="261">
        <v>0</v>
      </c>
      <c r="J207" s="261"/>
      <c r="K207" s="261"/>
      <c r="L207" s="261"/>
      <c r="M207" s="261"/>
      <c r="N207" s="261"/>
      <c r="O207" s="14"/>
    </row>
    <row r="208" spans="1:15" s="51" customFormat="1" ht="60.75" customHeight="1" x14ac:dyDescent="0.3">
      <c r="A208" s="159" t="s">
        <v>356</v>
      </c>
      <c r="B208" s="159" t="s">
        <v>29</v>
      </c>
      <c r="C208" s="159" t="s">
        <v>30</v>
      </c>
      <c r="D208" s="237" t="s">
        <v>27</v>
      </c>
      <c r="E208" s="236"/>
      <c r="F208" s="236" t="s">
        <v>357</v>
      </c>
      <c r="G208" s="261"/>
      <c r="H208" s="261"/>
      <c r="I208" s="261"/>
      <c r="J208" s="261"/>
      <c r="K208" s="261">
        <v>203.624</v>
      </c>
      <c r="L208" s="261">
        <v>203.624</v>
      </c>
      <c r="M208" s="261">
        <v>0</v>
      </c>
      <c r="N208" s="261">
        <v>0</v>
      </c>
      <c r="O208" s="14"/>
    </row>
    <row r="209" spans="1:15" s="19" customFormat="1" ht="36" customHeight="1" x14ac:dyDescent="0.25">
      <c r="A209" s="48"/>
      <c r="B209" s="78"/>
      <c r="C209" s="78"/>
      <c r="D209" s="198" t="s">
        <v>50</v>
      </c>
      <c r="E209" s="205"/>
      <c r="F209" s="198"/>
      <c r="G209" s="262">
        <f>G205+G206</f>
        <v>268.3</v>
      </c>
      <c r="H209" s="262">
        <f t="shared" ref="H209:N209" si="22">H205+H206</f>
        <v>9.5299999999999994</v>
      </c>
      <c r="I209" s="262">
        <f t="shared" si="22"/>
        <v>7.9379999999999997</v>
      </c>
      <c r="J209" s="262">
        <f t="shared" si="22"/>
        <v>0</v>
      </c>
      <c r="K209" s="262">
        <f t="shared" si="22"/>
        <v>303.62400000000002</v>
      </c>
      <c r="L209" s="262">
        <f t="shared" si="22"/>
        <v>203.624</v>
      </c>
      <c r="M209" s="262">
        <f t="shared" si="22"/>
        <v>0</v>
      </c>
      <c r="N209" s="262">
        <f t="shared" si="22"/>
        <v>0</v>
      </c>
      <c r="O209" s="27"/>
    </row>
    <row r="210" spans="1:15" s="51" customFormat="1" ht="43.5" customHeight="1" x14ac:dyDescent="0.25">
      <c r="A210" s="169">
        <v>7500000</v>
      </c>
      <c r="B210" s="176"/>
      <c r="C210" s="176"/>
      <c r="D210" s="181" t="s">
        <v>246</v>
      </c>
      <c r="E210" s="184"/>
      <c r="F210" s="173"/>
      <c r="G210" s="265"/>
      <c r="H210" s="265"/>
      <c r="I210" s="265"/>
      <c r="J210" s="265"/>
      <c r="K210" s="265"/>
      <c r="L210" s="265"/>
      <c r="M210" s="265"/>
      <c r="N210" s="265"/>
      <c r="O210" s="14"/>
    </row>
    <row r="211" spans="1:15" s="51" customFormat="1" ht="45.75" customHeight="1" x14ac:dyDescent="0.25">
      <c r="A211" s="187">
        <v>7510000</v>
      </c>
      <c r="B211" s="176"/>
      <c r="C211" s="176"/>
      <c r="D211" s="183" t="s">
        <v>246</v>
      </c>
      <c r="E211" s="184"/>
      <c r="F211" s="173"/>
      <c r="G211" s="265"/>
      <c r="H211" s="265"/>
      <c r="I211" s="265"/>
      <c r="J211" s="265"/>
      <c r="K211" s="265"/>
      <c r="L211" s="265"/>
      <c r="M211" s="265"/>
      <c r="N211" s="265"/>
      <c r="O211" s="14"/>
    </row>
    <row r="212" spans="1:15" s="51" customFormat="1" ht="21.75" customHeight="1" x14ac:dyDescent="0.25">
      <c r="A212" s="49" t="s">
        <v>247</v>
      </c>
      <c r="B212" s="49" t="s">
        <v>26</v>
      </c>
      <c r="C212" s="49" t="s">
        <v>30</v>
      </c>
      <c r="D212" s="28" t="s">
        <v>27</v>
      </c>
      <c r="E212" s="47"/>
      <c r="F212" s="13"/>
      <c r="G212" s="261">
        <f>G213</f>
        <v>1675</v>
      </c>
      <c r="H212" s="261">
        <f>H213</f>
        <v>170</v>
      </c>
      <c r="I212" s="261">
        <f>I213</f>
        <v>0</v>
      </c>
      <c r="J212" s="261"/>
      <c r="K212" s="261">
        <f>K213</f>
        <v>0</v>
      </c>
      <c r="L212" s="261"/>
      <c r="M212" s="261"/>
      <c r="N212" s="261"/>
      <c r="O212" s="14"/>
    </row>
    <row r="213" spans="1:15" s="51" customFormat="1" ht="74.25" customHeight="1" x14ac:dyDescent="0.25">
      <c r="A213" s="42">
        <v>7518601</v>
      </c>
      <c r="B213" s="21" t="s">
        <v>29</v>
      </c>
      <c r="C213" s="21" t="s">
        <v>30</v>
      </c>
      <c r="D213" s="28" t="s">
        <v>27</v>
      </c>
      <c r="E213" s="28"/>
      <c r="F213" s="20" t="s">
        <v>273</v>
      </c>
      <c r="G213" s="260">
        <v>1675</v>
      </c>
      <c r="H213" s="260">
        <v>170</v>
      </c>
      <c r="I213" s="260"/>
      <c r="J213" s="260"/>
      <c r="K213" s="260"/>
      <c r="L213" s="260"/>
      <c r="M213" s="260"/>
      <c r="N213" s="260"/>
      <c r="O213" s="14"/>
    </row>
    <row r="214" spans="1:15" s="19" customFormat="1" ht="27.75" customHeight="1" x14ac:dyDescent="0.25">
      <c r="A214" s="49"/>
      <c r="B214" s="49"/>
      <c r="C214" s="49"/>
      <c r="D214" s="219" t="s">
        <v>50</v>
      </c>
      <c r="E214" s="219"/>
      <c r="F214" s="219"/>
      <c r="G214" s="259">
        <f>G212</f>
        <v>1675</v>
      </c>
      <c r="H214" s="259">
        <f>H212</f>
        <v>170</v>
      </c>
      <c r="I214" s="259">
        <f>I212</f>
        <v>0</v>
      </c>
      <c r="J214" s="259">
        <f>I214/G214*100</f>
        <v>0</v>
      </c>
      <c r="K214" s="259">
        <f>K212</f>
        <v>0</v>
      </c>
      <c r="L214" s="259">
        <f>L212</f>
        <v>0</v>
      </c>
      <c r="M214" s="259">
        <f>M212</f>
        <v>0</v>
      </c>
      <c r="N214" s="259"/>
      <c r="O214" s="27"/>
    </row>
    <row r="215" spans="1:15" s="51" customFormat="1" ht="21.6" customHeight="1" x14ac:dyDescent="0.25">
      <c r="A215" s="92"/>
      <c r="B215" s="93"/>
      <c r="C215" s="93"/>
      <c r="D215" s="217" t="s">
        <v>248</v>
      </c>
      <c r="E215" s="217"/>
      <c r="F215" s="218"/>
      <c r="G215" s="276">
        <f>G25+G40+G80+G85+G100+G191+G202+G209+G214+G28</f>
        <v>34538.873999999996</v>
      </c>
      <c r="H215" s="276">
        <f>H25+H40+H80+H85+H100+H191+H202+H209+H214+H28</f>
        <v>10782.985000000002</v>
      </c>
      <c r="I215" s="276">
        <f>I25+I40+I80+I85+I100+I191+I202+I209+I214+I28</f>
        <v>8640.3520000000008</v>
      </c>
      <c r="J215" s="276">
        <f>I215/G215</f>
        <v>0.25016310606998948</v>
      </c>
      <c r="K215" s="276">
        <f>K25+K40+K80+K85+K100+K191+K202+K209+K214+K28</f>
        <v>41755.834000000003</v>
      </c>
      <c r="L215" s="276">
        <f>L25+L40+L80+L85+L100+L191+L202+L209+L214+L28</f>
        <v>4931.5159999999996</v>
      </c>
      <c r="M215" s="276">
        <f>M25+M40+M80+M85+M100+M191+M202+M209+M214+M28</f>
        <v>227.63783000000001</v>
      </c>
      <c r="N215" s="276">
        <f>M215/K215*100</f>
        <v>0.54516413203481939</v>
      </c>
      <c r="O215" s="14"/>
    </row>
    <row r="216" spans="1:15" s="15" customFormat="1" ht="34.5" customHeight="1" x14ac:dyDescent="0.25">
      <c r="A216" s="94"/>
      <c r="B216" s="95"/>
      <c r="C216" s="95"/>
      <c r="D216" s="96"/>
      <c r="E216" s="96"/>
      <c r="F216" s="65"/>
      <c r="G216" s="97"/>
      <c r="H216" s="97"/>
      <c r="I216" s="97"/>
      <c r="J216" s="97"/>
      <c r="K216" s="98"/>
      <c r="L216" s="98"/>
      <c r="M216" s="98"/>
      <c r="N216" s="98"/>
      <c r="O216" s="14"/>
    </row>
    <row r="217" spans="1:15" s="65" customFormat="1" ht="76.5" customHeight="1" x14ac:dyDescent="0.25">
      <c r="A217" s="94"/>
      <c r="B217" s="95"/>
      <c r="C217" s="95"/>
      <c r="D217" s="102"/>
      <c r="E217" s="102"/>
      <c r="G217" s="97"/>
      <c r="H217" s="97"/>
      <c r="I217" s="97"/>
      <c r="J217" s="97"/>
      <c r="K217" s="97"/>
      <c r="L217" s="97"/>
      <c r="M217" s="97"/>
      <c r="N217" s="97"/>
      <c r="O217" s="14"/>
    </row>
    <row r="218" spans="1:15" s="74" customFormat="1" ht="31.5" customHeight="1" x14ac:dyDescent="0.25">
      <c r="A218" s="8"/>
      <c r="B218" s="103"/>
      <c r="C218" s="103"/>
      <c r="D218" s="104"/>
      <c r="E218" s="104"/>
      <c r="G218" s="101"/>
      <c r="H218" s="101"/>
      <c r="I218" s="101"/>
      <c r="J218" s="101"/>
      <c r="K218" s="101"/>
      <c r="L218" s="101"/>
      <c r="M218" s="101"/>
      <c r="N218" s="101"/>
      <c r="O218" s="76"/>
    </row>
    <row r="219" spans="1:15" s="46" customFormat="1" ht="33" customHeight="1" x14ac:dyDescent="0.25">
      <c r="A219" s="100"/>
      <c r="B219" s="100"/>
      <c r="C219" s="100"/>
      <c r="D219" s="105"/>
      <c r="E219" s="105"/>
      <c r="F219" s="106"/>
      <c r="G219" s="101"/>
      <c r="H219" s="101"/>
      <c r="I219" s="101"/>
      <c r="J219" s="101"/>
      <c r="K219" s="97"/>
      <c r="L219" s="97"/>
      <c r="M219" s="97"/>
      <c r="N219" s="97"/>
      <c r="O219" s="27"/>
    </row>
    <row r="220" spans="1:15" s="15" customFormat="1" ht="16.5" customHeight="1" x14ac:dyDescent="0.25">
      <c r="A220" s="94"/>
      <c r="B220" s="95"/>
      <c r="C220" s="95"/>
      <c r="D220" s="107"/>
      <c r="E220" s="107"/>
      <c r="F220" s="65"/>
      <c r="G220" s="97"/>
      <c r="H220" s="97"/>
      <c r="I220" s="97"/>
      <c r="J220" s="97"/>
      <c r="K220" s="97"/>
      <c r="L220" s="97"/>
      <c r="M220" s="97"/>
      <c r="N220" s="97"/>
      <c r="O220" s="14"/>
    </row>
    <row r="221" spans="1:15" s="15" customFormat="1" ht="63" customHeight="1" x14ac:dyDescent="0.25">
      <c r="A221" s="108"/>
      <c r="B221" s="109"/>
      <c r="C221" s="109"/>
      <c r="D221" s="107"/>
      <c r="E221" s="107"/>
      <c r="F221" s="65"/>
      <c r="G221" s="97"/>
      <c r="H221" s="97"/>
      <c r="I221" s="97"/>
      <c r="J221" s="97"/>
      <c r="K221" s="97"/>
      <c r="L221" s="97"/>
      <c r="M221" s="97"/>
      <c r="N221" s="97"/>
      <c r="O221" s="14"/>
    </row>
    <row r="222" spans="1:15" s="46" customFormat="1" ht="77.25" customHeight="1" x14ac:dyDescent="0.25">
      <c r="A222" s="110"/>
      <c r="B222" s="111"/>
      <c r="C222" s="111"/>
      <c r="D222" s="112"/>
      <c r="E222" s="113"/>
      <c r="F222" s="64"/>
      <c r="G222" s="97"/>
      <c r="H222" s="97"/>
      <c r="I222" s="97"/>
      <c r="J222" s="97"/>
      <c r="K222" s="98"/>
      <c r="L222" s="98"/>
      <c r="M222" s="98"/>
      <c r="N222" s="98"/>
      <c r="O222" s="27"/>
    </row>
    <row r="223" spans="1:15" s="15" customFormat="1" ht="60.75" customHeight="1" x14ac:dyDescent="0.25">
      <c r="A223" s="94"/>
      <c r="B223" s="95"/>
      <c r="C223" s="95"/>
      <c r="D223" s="96"/>
      <c r="E223" s="96"/>
      <c r="F223" s="65"/>
      <c r="G223" s="97"/>
      <c r="H223" s="97"/>
      <c r="I223" s="97"/>
      <c r="J223" s="97"/>
      <c r="K223" s="97"/>
      <c r="L223" s="97"/>
      <c r="M223" s="97"/>
      <c r="N223" s="97"/>
      <c r="O223" s="14"/>
    </row>
    <row r="224" spans="1:15" s="15" customFormat="1" ht="20.25" customHeight="1" x14ac:dyDescent="0.25">
      <c r="A224" s="8"/>
      <c r="B224" s="103"/>
      <c r="C224" s="103"/>
      <c r="D224" s="74"/>
      <c r="E224" s="96"/>
      <c r="F224" s="65"/>
      <c r="G224" s="101"/>
      <c r="H224" s="101"/>
      <c r="I224" s="101"/>
      <c r="J224" s="101"/>
      <c r="K224" s="97"/>
      <c r="L224" s="97"/>
      <c r="M224" s="97"/>
      <c r="N224" s="97"/>
      <c r="O224" s="14"/>
    </row>
    <row r="225" spans="1:15" s="19" customFormat="1" ht="78" customHeight="1" collapsed="1" x14ac:dyDescent="0.25">
      <c r="A225" s="100"/>
      <c r="B225" s="100"/>
      <c r="C225" s="100"/>
      <c r="D225" s="114"/>
      <c r="E225" s="114"/>
      <c r="F225" s="64"/>
      <c r="G225" s="101"/>
      <c r="H225" s="101"/>
      <c r="I225" s="101"/>
      <c r="J225" s="101"/>
      <c r="K225" s="101"/>
      <c r="L225" s="101"/>
      <c r="M225" s="101"/>
      <c r="N225" s="101"/>
      <c r="O225" s="27"/>
    </row>
    <row r="226" spans="1:15" s="51" customFormat="1" ht="64.5" customHeight="1" x14ac:dyDescent="0.25">
      <c r="A226" s="115"/>
      <c r="B226" s="94"/>
      <c r="C226" s="94"/>
      <c r="D226" s="96"/>
      <c r="E226" s="96"/>
      <c r="F226" s="65"/>
      <c r="G226" s="97"/>
      <c r="H226" s="97"/>
      <c r="I226" s="97"/>
      <c r="J226" s="97"/>
      <c r="K226" s="97"/>
      <c r="L226" s="97"/>
      <c r="M226" s="97"/>
      <c r="N226" s="97"/>
      <c r="O226" s="14"/>
    </row>
    <row r="227" spans="1:15" s="51" customFormat="1" ht="30.75" customHeight="1" x14ac:dyDescent="0.25">
      <c r="A227" s="8"/>
      <c r="B227" s="8"/>
      <c r="C227" s="8"/>
      <c r="D227" s="74"/>
      <c r="E227" s="96"/>
      <c r="F227" s="65"/>
      <c r="G227" s="101"/>
      <c r="H227" s="101"/>
      <c r="I227" s="101"/>
      <c r="J227" s="101"/>
      <c r="K227" s="101"/>
      <c r="L227" s="101"/>
      <c r="M227" s="101"/>
      <c r="N227" s="101"/>
      <c r="O227" s="14"/>
    </row>
    <row r="228" spans="1:15" s="19" customFormat="1" ht="33.75" customHeight="1" x14ac:dyDescent="0.25">
      <c r="A228" s="100"/>
      <c r="B228" s="100"/>
      <c r="C228" s="100"/>
      <c r="D228" s="64"/>
      <c r="E228" s="64"/>
      <c r="F228" s="106"/>
      <c r="G228" s="101"/>
      <c r="H228" s="101"/>
      <c r="I228" s="101"/>
      <c r="J228" s="101"/>
      <c r="K228" s="101"/>
      <c r="L228" s="101"/>
      <c r="M228" s="101"/>
      <c r="N228" s="101"/>
      <c r="O228" s="27"/>
    </row>
    <row r="229" spans="1:15" s="19" customFormat="1" ht="31.5" customHeight="1" x14ac:dyDescent="0.25">
      <c r="A229" s="103"/>
      <c r="B229" s="103"/>
      <c r="C229" s="103"/>
      <c r="D229" s="74"/>
      <c r="E229" s="64"/>
      <c r="F229" s="106"/>
      <c r="G229" s="101"/>
      <c r="H229" s="101"/>
      <c r="I229" s="101"/>
      <c r="J229" s="101"/>
      <c r="K229" s="101"/>
      <c r="L229" s="101"/>
      <c r="M229" s="101"/>
      <c r="N229" s="101"/>
      <c r="O229" s="27"/>
    </row>
    <row r="230" spans="1:15" s="10" customFormat="1" ht="15.75" customHeight="1" x14ac:dyDescent="0.3">
      <c r="A230" s="116"/>
      <c r="B230" s="116"/>
      <c r="C230" s="116"/>
      <c r="D230" s="117"/>
      <c r="E230" s="64"/>
      <c r="F230" s="64"/>
      <c r="G230" s="101"/>
      <c r="H230" s="101"/>
      <c r="I230" s="101"/>
      <c r="J230" s="101"/>
      <c r="K230" s="101"/>
      <c r="L230" s="101"/>
      <c r="M230" s="101"/>
      <c r="N230" s="101"/>
      <c r="O230" s="27"/>
    </row>
    <row r="231" spans="1:15" s="10" customFormat="1" ht="31.5" customHeight="1" x14ac:dyDescent="0.25">
      <c r="A231" s="100"/>
      <c r="B231" s="100"/>
      <c r="C231" s="100"/>
      <c r="D231" s="118"/>
      <c r="E231" s="64"/>
      <c r="F231" s="64"/>
      <c r="G231" s="101"/>
      <c r="H231" s="101"/>
      <c r="I231" s="101"/>
      <c r="J231" s="101"/>
      <c r="K231" s="101"/>
      <c r="L231" s="101"/>
      <c r="M231" s="101"/>
      <c r="N231" s="101"/>
      <c r="O231" s="27"/>
    </row>
    <row r="232" spans="1:15" s="10" customFormat="1" ht="63.75" customHeight="1" x14ac:dyDescent="0.25">
      <c r="A232" s="100"/>
      <c r="B232" s="100"/>
      <c r="C232" s="100"/>
      <c r="D232" s="64"/>
      <c r="E232" s="64"/>
      <c r="F232" s="64"/>
      <c r="G232" s="101"/>
      <c r="H232" s="101"/>
      <c r="I232" s="101"/>
      <c r="J232" s="101"/>
      <c r="K232" s="101"/>
      <c r="L232" s="101"/>
      <c r="M232" s="101"/>
      <c r="N232" s="101"/>
      <c r="O232" s="27"/>
    </row>
    <row r="233" spans="1:15" s="51" customFormat="1" ht="61.5" customHeight="1" x14ac:dyDescent="0.25">
      <c r="A233" s="115"/>
      <c r="B233" s="94"/>
      <c r="C233" s="94"/>
      <c r="D233" s="96"/>
      <c r="E233" s="96"/>
      <c r="F233" s="65"/>
      <c r="G233" s="97"/>
      <c r="H233" s="97"/>
      <c r="I233" s="97"/>
      <c r="J233" s="97"/>
      <c r="K233" s="97"/>
      <c r="L233" s="97"/>
      <c r="M233" s="97"/>
      <c r="N233" s="97"/>
      <c r="O233" s="14"/>
    </row>
    <row r="234" spans="1:15" s="51" customFormat="1" ht="30" customHeight="1" x14ac:dyDescent="0.25">
      <c r="A234" s="8"/>
      <c r="B234" s="8"/>
      <c r="C234" s="8"/>
      <c r="D234" s="74"/>
      <c r="E234" s="74"/>
      <c r="F234" s="74"/>
      <c r="G234" s="101"/>
      <c r="H234" s="101"/>
      <c r="I234" s="101"/>
      <c r="J234" s="101"/>
      <c r="K234" s="101"/>
      <c r="L234" s="101"/>
      <c r="M234" s="101"/>
      <c r="N234" s="101"/>
      <c r="O234" s="76"/>
    </row>
    <row r="235" spans="1:15" s="46" customFormat="1" ht="30.75" customHeight="1" x14ac:dyDescent="0.25">
      <c r="A235" s="100"/>
      <c r="B235" s="100"/>
      <c r="C235" s="100"/>
      <c r="D235" s="64"/>
      <c r="E235" s="64"/>
      <c r="F235" s="64"/>
      <c r="G235" s="101"/>
      <c r="H235" s="101"/>
      <c r="I235" s="101"/>
      <c r="J235" s="101"/>
      <c r="K235" s="101"/>
      <c r="L235" s="101"/>
      <c r="M235" s="101"/>
      <c r="N235" s="101"/>
      <c r="O235" s="27"/>
    </row>
    <row r="236" spans="1:15" s="46" customFormat="1" ht="60.75" customHeight="1" x14ac:dyDescent="0.25">
      <c r="A236" s="100"/>
      <c r="B236" s="100"/>
      <c r="C236" s="100"/>
      <c r="D236" s="118"/>
      <c r="E236" s="64"/>
      <c r="F236" s="64"/>
      <c r="G236" s="101"/>
      <c r="H236" s="101"/>
      <c r="I236" s="101"/>
      <c r="J236" s="101"/>
      <c r="K236" s="101"/>
      <c r="L236" s="101"/>
      <c r="M236" s="101"/>
      <c r="N236" s="101"/>
      <c r="O236" s="27"/>
    </row>
    <row r="237" spans="1:15" s="46" customFormat="1" ht="48" customHeight="1" x14ac:dyDescent="0.25">
      <c r="A237" s="100"/>
      <c r="B237" s="100"/>
      <c r="C237" s="100"/>
      <c r="D237" s="64"/>
      <c r="E237" s="64"/>
      <c r="F237" s="64"/>
      <c r="G237" s="101"/>
      <c r="H237" s="101"/>
      <c r="I237" s="101"/>
      <c r="J237" s="101"/>
      <c r="K237" s="101"/>
      <c r="L237" s="101"/>
      <c r="M237" s="101"/>
      <c r="N237" s="101"/>
      <c r="O237" s="27"/>
    </row>
    <row r="238" spans="1:15" s="19" customFormat="1" ht="30.75" customHeight="1" x14ac:dyDescent="0.25">
      <c r="A238" s="119"/>
      <c r="B238" s="95"/>
      <c r="C238" s="95"/>
      <c r="D238" s="96"/>
      <c r="E238" s="96"/>
      <c r="F238" s="65"/>
      <c r="G238" s="97"/>
      <c r="H238" s="97"/>
      <c r="I238" s="97"/>
      <c r="J238" s="97"/>
      <c r="K238" s="97"/>
      <c r="L238" s="97"/>
      <c r="M238" s="97"/>
      <c r="N238" s="97"/>
      <c r="O238" s="14"/>
    </row>
    <row r="239" spans="1:15" s="51" customFormat="1" ht="15.75" customHeight="1" x14ac:dyDescent="0.25">
      <c r="A239" s="8"/>
      <c r="B239" s="103"/>
      <c r="C239" s="103"/>
      <c r="D239" s="74"/>
      <c r="E239" s="74"/>
      <c r="F239" s="74"/>
      <c r="G239" s="101"/>
      <c r="H239" s="101"/>
      <c r="I239" s="101"/>
      <c r="J239" s="101"/>
      <c r="K239" s="101"/>
      <c r="L239" s="101"/>
      <c r="M239" s="101"/>
      <c r="N239" s="101"/>
      <c r="O239" s="76"/>
    </row>
    <row r="240" spans="1:15" s="19" customFormat="1" ht="31.5" customHeight="1" x14ac:dyDescent="0.25">
      <c r="A240" s="99"/>
      <c r="B240" s="100"/>
      <c r="C240" s="100"/>
      <c r="D240" s="64"/>
      <c r="E240" s="64"/>
      <c r="F240" s="64"/>
      <c r="G240" s="101"/>
      <c r="H240" s="101"/>
      <c r="I240" s="101"/>
      <c r="J240" s="101"/>
      <c r="K240" s="101"/>
      <c r="L240" s="101"/>
      <c r="M240" s="101"/>
      <c r="N240" s="101"/>
      <c r="O240" s="27"/>
    </row>
    <row r="241" spans="1:15" s="15" customFormat="1" ht="21.75" customHeight="1" x14ac:dyDescent="0.25">
      <c r="A241" s="108"/>
      <c r="B241" s="109"/>
      <c r="C241" s="109"/>
      <c r="D241" s="107"/>
      <c r="E241" s="107"/>
      <c r="F241" s="65"/>
      <c r="G241" s="97"/>
      <c r="H241" s="97"/>
      <c r="I241" s="97"/>
      <c r="J241" s="97"/>
      <c r="K241" s="97"/>
      <c r="L241" s="97"/>
      <c r="M241" s="97"/>
      <c r="N241" s="97"/>
      <c r="O241" s="14"/>
    </row>
    <row r="242" spans="1:15" s="15" customFormat="1" ht="33.75" customHeight="1" x14ac:dyDescent="0.25">
      <c r="A242" s="108"/>
      <c r="B242" s="109"/>
      <c r="C242" s="109"/>
      <c r="D242" s="107"/>
      <c r="E242" s="107"/>
      <c r="F242" s="65"/>
      <c r="G242" s="97"/>
      <c r="H242" s="97"/>
      <c r="I242" s="97"/>
      <c r="J242" s="97"/>
      <c r="K242" s="97"/>
      <c r="L242" s="97"/>
      <c r="M242" s="97"/>
      <c r="N242" s="97"/>
      <c r="O242" s="14"/>
    </row>
    <row r="243" spans="1:15" s="19" customFormat="1" ht="55.5" customHeight="1" x14ac:dyDescent="0.25">
      <c r="A243" s="110"/>
      <c r="B243" s="120"/>
      <c r="C243" s="120"/>
      <c r="D243" s="121"/>
      <c r="E243" s="122"/>
      <c r="F243" s="10"/>
      <c r="G243" s="97"/>
      <c r="H243" s="97"/>
      <c r="I243" s="97"/>
      <c r="J243" s="97"/>
      <c r="K243" s="98"/>
      <c r="L243" s="98"/>
      <c r="M243" s="98"/>
      <c r="N243" s="98"/>
      <c r="O243" s="27"/>
    </row>
    <row r="244" spans="1:15" s="15" customFormat="1" ht="47.25" customHeight="1" x14ac:dyDescent="0.25">
      <c r="A244" s="108"/>
      <c r="B244" s="103"/>
      <c r="C244" s="103"/>
      <c r="D244" s="107"/>
      <c r="E244" s="107"/>
      <c r="F244" s="65"/>
      <c r="G244" s="97"/>
      <c r="H244" s="97"/>
      <c r="I244" s="97"/>
      <c r="J244" s="97"/>
      <c r="K244" s="97"/>
      <c r="L244" s="97"/>
      <c r="M244" s="97"/>
      <c r="N244" s="97"/>
      <c r="O244" s="14"/>
    </row>
    <row r="245" spans="1:15" s="19" customFormat="1" ht="31.5" customHeight="1" x14ac:dyDescent="0.25">
      <c r="A245" s="103"/>
      <c r="B245" s="103"/>
      <c r="C245" s="103"/>
      <c r="D245" s="104"/>
      <c r="E245" s="104"/>
      <c r="F245" s="74"/>
      <c r="G245" s="97"/>
      <c r="H245" s="97"/>
      <c r="I245" s="97"/>
      <c r="J245" s="97"/>
      <c r="K245" s="101"/>
      <c r="L245" s="101"/>
      <c r="M245" s="101"/>
      <c r="N245" s="101"/>
      <c r="O245" s="14"/>
    </row>
    <row r="246" spans="1:15" s="19" customFormat="1" ht="60.75" customHeight="1" x14ac:dyDescent="0.25">
      <c r="A246" s="103"/>
      <c r="B246" s="103"/>
      <c r="C246" s="103"/>
      <c r="D246" s="74"/>
      <c r="E246" s="74"/>
      <c r="F246" s="74"/>
      <c r="G246" s="97"/>
      <c r="H246" s="97"/>
      <c r="I246" s="97"/>
      <c r="J246" s="97"/>
      <c r="K246" s="101"/>
      <c r="L246" s="101"/>
      <c r="M246" s="101"/>
      <c r="N246" s="101"/>
      <c r="O246" s="14"/>
    </row>
    <row r="247" spans="1:15" s="19" customFormat="1" ht="47.25" customHeight="1" x14ac:dyDescent="0.25">
      <c r="A247" s="103"/>
      <c r="B247" s="103"/>
      <c r="C247" s="103"/>
      <c r="D247" s="74"/>
      <c r="E247" s="74"/>
      <c r="F247" s="74"/>
      <c r="G247" s="97"/>
      <c r="H247" s="97"/>
      <c r="I247" s="97"/>
      <c r="J247" s="97"/>
      <c r="K247" s="101"/>
      <c r="L247" s="101"/>
      <c r="M247" s="101"/>
      <c r="N247" s="101"/>
      <c r="O247" s="14"/>
    </row>
    <row r="248" spans="1:15" s="19" customFormat="1" ht="31.5" customHeight="1" x14ac:dyDescent="0.25">
      <c r="A248" s="103"/>
      <c r="B248" s="103"/>
      <c r="C248" s="103"/>
      <c r="D248" s="74"/>
      <c r="E248" s="74"/>
      <c r="F248" s="74"/>
      <c r="G248" s="97"/>
      <c r="H248" s="97"/>
      <c r="I248" s="97"/>
      <c r="J248" s="97"/>
      <c r="K248" s="101"/>
      <c r="L248" s="101"/>
      <c r="M248" s="101"/>
      <c r="N248" s="101"/>
      <c r="O248" s="14"/>
    </row>
    <row r="249" spans="1:15" s="19" customFormat="1" ht="45.75" customHeight="1" x14ac:dyDescent="0.25">
      <c r="A249" s="100"/>
      <c r="B249" s="100"/>
      <c r="C249" s="100"/>
      <c r="D249" s="64"/>
      <c r="E249" s="64"/>
      <c r="F249" s="64"/>
      <c r="G249" s="97"/>
      <c r="H249" s="97"/>
      <c r="I249" s="97"/>
      <c r="J249" s="97"/>
      <c r="K249" s="101"/>
      <c r="L249" s="101"/>
      <c r="M249" s="101"/>
      <c r="N249" s="101"/>
      <c r="O249" s="27"/>
    </row>
    <row r="250" spans="1:15" s="19" customFormat="1" ht="46.5" customHeight="1" x14ac:dyDescent="0.25">
      <c r="A250" s="103"/>
      <c r="B250" s="103"/>
      <c r="C250" s="103"/>
      <c r="D250" s="74"/>
      <c r="E250" s="74"/>
      <c r="F250" s="65"/>
      <c r="G250" s="97"/>
      <c r="H250" s="97"/>
      <c r="I250" s="97"/>
      <c r="J250" s="97"/>
      <c r="K250" s="97"/>
      <c r="L250" s="97"/>
      <c r="M250" s="97"/>
      <c r="N250" s="97"/>
      <c r="O250" s="14"/>
    </row>
    <row r="251" spans="1:15" s="19" customFormat="1" ht="35.25" customHeight="1" x14ac:dyDescent="0.25">
      <c r="A251" s="103"/>
      <c r="B251" s="103"/>
      <c r="C251" s="103"/>
      <c r="D251" s="74"/>
      <c r="E251" s="74"/>
      <c r="F251" s="74"/>
      <c r="G251" s="97"/>
      <c r="H251" s="97"/>
      <c r="I251" s="97"/>
      <c r="J251" s="97"/>
      <c r="K251" s="101"/>
      <c r="L251" s="101"/>
      <c r="M251" s="101"/>
      <c r="N251" s="101"/>
      <c r="O251" s="14"/>
    </row>
    <row r="252" spans="1:15" s="19" customFormat="1" ht="50.25" customHeight="1" x14ac:dyDescent="0.25">
      <c r="A252" s="119"/>
      <c r="B252" s="95"/>
      <c r="C252" s="95"/>
      <c r="D252" s="107"/>
      <c r="E252" s="102"/>
      <c r="F252" s="65"/>
      <c r="G252" s="97"/>
      <c r="H252" s="97"/>
      <c r="I252" s="97"/>
      <c r="J252" s="97"/>
      <c r="K252" s="97"/>
      <c r="L252" s="97"/>
      <c r="M252" s="97"/>
      <c r="N252" s="97"/>
      <c r="O252" s="14"/>
    </row>
    <row r="253" spans="1:15" s="15" customFormat="1" ht="30.75" customHeight="1" x14ac:dyDescent="0.25">
      <c r="A253" s="108"/>
      <c r="B253" s="109"/>
      <c r="C253" s="109"/>
      <c r="D253" s="107"/>
      <c r="E253" s="107"/>
      <c r="F253" s="65"/>
      <c r="G253" s="97"/>
      <c r="H253" s="97"/>
      <c r="I253" s="97"/>
      <c r="J253" s="97"/>
      <c r="K253" s="97"/>
      <c r="L253" s="97"/>
      <c r="M253" s="97"/>
      <c r="N253" s="97"/>
      <c r="O253" s="123"/>
    </row>
    <row r="254" spans="1:15" s="19" customFormat="1" ht="56.25" customHeight="1" x14ac:dyDescent="0.25">
      <c r="A254" s="110"/>
      <c r="B254" s="119"/>
      <c r="C254" s="119"/>
      <c r="D254" s="124"/>
      <c r="E254" s="113"/>
      <c r="F254" s="10"/>
      <c r="G254" s="97"/>
      <c r="H254" s="97"/>
      <c r="I254" s="97"/>
      <c r="J254" s="97"/>
      <c r="K254" s="98"/>
      <c r="L254" s="98"/>
      <c r="M254" s="98"/>
      <c r="N254" s="98"/>
      <c r="O254" s="27"/>
    </row>
    <row r="255" spans="1:15" s="19" customFormat="1" ht="44.25" customHeight="1" x14ac:dyDescent="0.25">
      <c r="A255" s="99"/>
      <c r="B255" s="109"/>
      <c r="C255" s="109"/>
      <c r="D255" s="125"/>
      <c r="E255" s="125"/>
      <c r="F255" s="65"/>
      <c r="G255" s="97"/>
      <c r="H255" s="97"/>
      <c r="I255" s="97"/>
      <c r="J255" s="97"/>
      <c r="K255" s="97"/>
      <c r="L255" s="97"/>
      <c r="M255" s="97"/>
      <c r="N255" s="97"/>
      <c r="O255" s="14"/>
    </row>
    <row r="256" spans="1:15" s="19" customFormat="1" ht="64.5" customHeight="1" x14ac:dyDescent="0.25">
      <c r="A256" s="8"/>
      <c r="B256" s="103"/>
      <c r="C256" s="103"/>
      <c r="D256" s="126"/>
      <c r="E256" s="125"/>
      <c r="F256" s="65"/>
      <c r="G256" s="101"/>
      <c r="H256" s="101"/>
      <c r="I256" s="101"/>
      <c r="J256" s="101"/>
      <c r="K256" s="101"/>
      <c r="L256" s="101"/>
      <c r="M256" s="101"/>
      <c r="N256" s="101"/>
      <c r="O256" s="14"/>
    </row>
    <row r="257" spans="1:15" s="19" customFormat="1" ht="50.25" customHeight="1" x14ac:dyDescent="0.25">
      <c r="A257" s="100"/>
      <c r="B257" s="100"/>
      <c r="C257" s="100"/>
      <c r="D257" s="64"/>
      <c r="E257" s="64"/>
      <c r="F257" s="64"/>
      <c r="G257" s="101"/>
      <c r="H257" s="101"/>
      <c r="I257" s="101"/>
      <c r="J257" s="101"/>
      <c r="K257" s="101"/>
      <c r="L257" s="101"/>
      <c r="M257" s="101"/>
      <c r="N257" s="101"/>
      <c r="O257" s="27"/>
    </row>
    <row r="258" spans="1:15" s="19" customFormat="1" ht="92.25" customHeight="1" x14ac:dyDescent="0.25">
      <c r="A258" s="100"/>
      <c r="B258" s="100"/>
      <c r="C258" s="100"/>
      <c r="D258" s="64"/>
      <c r="E258" s="64"/>
      <c r="F258" s="64"/>
      <c r="G258" s="101"/>
      <c r="H258" s="101"/>
      <c r="I258" s="101"/>
      <c r="J258" s="101"/>
      <c r="K258" s="101"/>
      <c r="L258" s="101"/>
      <c r="M258" s="101"/>
      <c r="N258" s="101"/>
      <c r="O258" s="27"/>
    </row>
    <row r="259" spans="1:15" s="19" customFormat="1" ht="22.5" customHeight="1" x14ac:dyDescent="0.25">
      <c r="A259" s="99"/>
      <c r="B259" s="103"/>
      <c r="C259" s="103"/>
      <c r="D259" s="107"/>
      <c r="E259" s="107"/>
      <c r="F259" s="65"/>
      <c r="G259" s="97"/>
      <c r="H259" s="97"/>
      <c r="I259" s="97"/>
      <c r="J259" s="97"/>
      <c r="K259" s="97"/>
      <c r="L259" s="97"/>
      <c r="M259" s="97"/>
      <c r="N259" s="97"/>
      <c r="O259" s="14"/>
    </row>
    <row r="260" spans="1:15" s="15" customFormat="1" ht="33" customHeight="1" x14ac:dyDescent="0.25">
      <c r="A260" s="108"/>
      <c r="B260" s="109"/>
      <c r="C260" s="109"/>
      <c r="D260" s="107"/>
      <c r="E260" s="107"/>
      <c r="F260" s="65"/>
      <c r="G260" s="97"/>
      <c r="H260" s="97"/>
      <c r="I260" s="97"/>
      <c r="J260" s="97"/>
      <c r="K260" s="97"/>
      <c r="L260" s="97"/>
      <c r="M260" s="97"/>
      <c r="N260" s="97"/>
      <c r="O260" s="75"/>
    </row>
    <row r="261" spans="1:15" s="19" customFormat="1" ht="33.75" customHeight="1" x14ac:dyDescent="0.25">
      <c r="A261" s="110"/>
      <c r="B261" s="100"/>
      <c r="C261" s="100"/>
      <c r="D261" s="127"/>
      <c r="E261" s="127"/>
      <c r="F261" s="10"/>
      <c r="G261" s="97"/>
      <c r="H261" s="97"/>
      <c r="I261" s="97"/>
      <c r="J261" s="97"/>
      <c r="K261" s="97"/>
      <c r="L261" s="97"/>
      <c r="M261" s="97"/>
      <c r="N261" s="97"/>
      <c r="O261" s="27"/>
    </row>
    <row r="262" spans="1:15" s="19" customFormat="1" ht="46.5" customHeight="1" x14ac:dyDescent="0.25">
      <c r="A262" s="99"/>
      <c r="B262" s="103"/>
      <c r="C262" s="103"/>
      <c r="D262" s="107"/>
      <c r="E262" s="107"/>
      <c r="F262" s="65"/>
      <c r="G262" s="97"/>
      <c r="H262" s="97"/>
      <c r="I262" s="97"/>
      <c r="J262" s="97"/>
      <c r="K262" s="97"/>
      <c r="L262" s="97"/>
      <c r="M262" s="97"/>
      <c r="N262" s="97"/>
      <c r="O262" s="14"/>
    </row>
    <row r="263" spans="1:15" s="19" customFormat="1" ht="33" customHeight="1" x14ac:dyDescent="0.25">
      <c r="A263" s="8"/>
      <c r="B263" s="103"/>
      <c r="C263" s="103"/>
      <c r="D263" s="104"/>
      <c r="E263" s="107"/>
      <c r="F263" s="74"/>
      <c r="G263" s="101"/>
      <c r="H263" s="101"/>
      <c r="I263" s="101"/>
      <c r="J263" s="101"/>
      <c r="K263" s="101"/>
      <c r="L263" s="101"/>
      <c r="M263" s="101"/>
      <c r="N263" s="101"/>
      <c r="O263" s="14"/>
    </row>
    <row r="264" spans="1:15" s="19" customFormat="1" ht="35.25" customHeight="1" x14ac:dyDescent="0.25">
      <c r="A264" s="8"/>
      <c r="B264" s="103"/>
      <c r="C264" s="103"/>
      <c r="D264" s="107"/>
      <c r="E264" s="107"/>
      <c r="F264" s="74"/>
      <c r="G264" s="97"/>
      <c r="H264" s="97"/>
      <c r="I264" s="97"/>
      <c r="J264" s="97"/>
      <c r="K264" s="97"/>
      <c r="L264" s="97"/>
      <c r="M264" s="97"/>
      <c r="N264" s="97"/>
      <c r="O264" s="14"/>
    </row>
    <row r="265" spans="1:15" s="19" customFormat="1" ht="38.25" customHeight="1" x14ac:dyDescent="0.25">
      <c r="A265" s="108"/>
      <c r="B265" s="109"/>
      <c r="C265" s="109"/>
      <c r="D265" s="107"/>
      <c r="E265" s="107"/>
      <c r="F265" s="74"/>
      <c r="G265" s="97"/>
      <c r="H265" s="97"/>
      <c r="I265" s="97"/>
      <c r="J265" s="97"/>
      <c r="K265" s="97"/>
      <c r="L265" s="97"/>
      <c r="M265" s="97"/>
      <c r="N265" s="97"/>
      <c r="O265" s="14"/>
    </row>
    <row r="266" spans="1:15" s="19" customFormat="1" ht="60" customHeight="1" x14ac:dyDescent="0.25">
      <c r="A266" s="110"/>
      <c r="B266" s="100"/>
      <c r="C266" s="100"/>
      <c r="D266" s="128"/>
      <c r="E266" s="127"/>
      <c r="F266" s="10"/>
      <c r="G266" s="97"/>
      <c r="H266" s="97"/>
      <c r="I266" s="97"/>
      <c r="J266" s="97"/>
      <c r="K266" s="97"/>
      <c r="L266" s="97"/>
      <c r="M266" s="97"/>
      <c r="N266" s="97"/>
      <c r="O266" s="27"/>
    </row>
    <row r="267" spans="1:15" s="19" customFormat="1" ht="48" customHeight="1" x14ac:dyDescent="0.25">
      <c r="A267" s="99"/>
      <c r="B267" s="103"/>
      <c r="C267" s="103"/>
      <c r="D267" s="107"/>
      <c r="E267" s="107"/>
      <c r="F267" s="65"/>
      <c r="G267" s="97"/>
      <c r="H267" s="97"/>
      <c r="I267" s="97"/>
      <c r="J267" s="97"/>
      <c r="K267" s="97"/>
      <c r="L267" s="97"/>
      <c r="M267" s="97"/>
      <c r="N267" s="97"/>
      <c r="O267" s="14"/>
    </row>
    <row r="268" spans="1:15" s="19" customFormat="1" ht="34.5" customHeight="1" x14ac:dyDescent="0.25">
      <c r="A268" s="8"/>
      <c r="B268" s="103"/>
      <c r="C268" s="103"/>
      <c r="D268" s="104"/>
      <c r="E268" s="107"/>
      <c r="F268" s="51"/>
      <c r="G268" s="101"/>
      <c r="H268" s="101"/>
      <c r="I268" s="101"/>
      <c r="J268" s="101"/>
      <c r="K268" s="101"/>
      <c r="L268" s="101"/>
      <c r="M268" s="101"/>
      <c r="N268" s="101"/>
      <c r="O268" s="14"/>
    </row>
    <row r="269" spans="1:15" s="19" customFormat="1" ht="35.25" customHeight="1" x14ac:dyDescent="0.25">
      <c r="A269" s="8"/>
      <c r="B269" s="103"/>
      <c r="C269" s="103"/>
      <c r="D269" s="104"/>
      <c r="E269" s="107"/>
      <c r="F269" s="65"/>
      <c r="G269" s="101"/>
      <c r="H269" s="101"/>
      <c r="I269" s="101"/>
      <c r="J269" s="101"/>
      <c r="K269" s="97"/>
      <c r="L269" s="97"/>
      <c r="M269" s="97"/>
      <c r="N269" s="97"/>
      <c r="O269" s="14"/>
    </row>
    <row r="270" spans="1:15" s="19" customFormat="1" ht="34.5" customHeight="1" x14ac:dyDescent="0.25">
      <c r="A270" s="8"/>
      <c r="B270" s="103"/>
      <c r="C270" s="103"/>
      <c r="D270" s="104"/>
      <c r="E270" s="107"/>
      <c r="F270" s="51"/>
      <c r="G270" s="101"/>
      <c r="H270" s="101"/>
      <c r="I270" s="101"/>
      <c r="J270" s="101"/>
      <c r="K270" s="101"/>
      <c r="L270" s="101"/>
      <c r="M270" s="101"/>
      <c r="N270" s="101"/>
      <c r="O270" s="14"/>
    </row>
    <row r="271" spans="1:15" s="19" customFormat="1" ht="21" customHeight="1" x14ac:dyDescent="0.25">
      <c r="A271" s="8"/>
      <c r="B271" s="103"/>
      <c r="C271" s="103"/>
      <c r="D271" s="107"/>
      <c r="E271" s="107"/>
      <c r="F271" s="74"/>
      <c r="G271" s="97"/>
      <c r="H271" s="97"/>
      <c r="I271" s="97"/>
      <c r="J271" s="97"/>
      <c r="K271" s="97"/>
      <c r="L271" s="97"/>
      <c r="M271" s="97"/>
      <c r="N271" s="97"/>
      <c r="O271" s="14"/>
    </row>
    <row r="272" spans="1:15" s="19" customFormat="1" ht="58.5" customHeight="1" x14ac:dyDescent="0.25">
      <c r="A272" s="109"/>
      <c r="B272" s="109"/>
      <c r="C272" s="109"/>
      <c r="D272" s="129"/>
      <c r="E272" s="107"/>
      <c r="F272" s="74"/>
      <c r="G272" s="97"/>
      <c r="H272" s="97"/>
      <c r="I272" s="97"/>
      <c r="J272" s="97"/>
      <c r="K272" s="97"/>
      <c r="L272" s="97"/>
      <c r="M272" s="97"/>
      <c r="N272" s="97"/>
      <c r="O272" s="14"/>
    </row>
    <row r="273" spans="1:261" s="19" customFormat="1" ht="57.75" customHeight="1" x14ac:dyDescent="0.25">
      <c r="A273" s="110"/>
      <c r="B273" s="119"/>
      <c r="C273" s="119"/>
      <c r="D273" s="130"/>
      <c r="E273" s="131"/>
      <c r="F273" s="10"/>
      <c r="G273" s="97"/>
      <c r="H273" s="97"/>
      <c r="I273" s="97"/>
      <c r="J273" s="97"/>
      <c r="K273" s="98"/>
      <c r="L273" s="98"/>
      <c r="M273" s="98"/>
      <c r="N273" s="98"/>
      <c r="O273" s="27"/>
    </row>
    <row r="274" spans="1:261" s="19" customFormat="1" ht="50.25" customHeight="1" x14ac:dyDescent="0.25">
      <c r="A274" s="8"/>
      <c r="B274" s="103"/>
      <c r="C274" s="103"/>
      <c r="D274" s="107"/>
      <c r="E274" s="107"/>
      <c r="F274" s="65"/>
      <c r="G274" s="97"/>
      <c r="H274" s="97"/>
      <c r="I274" s="97"/>
      <c r="J274" s="97"/>
      <c r="K274" s="97"/>
      <c r="L274" s="97"/>
      <c r="M274" s="97"/>
      <c r="N274" s="97"/>
      <c r="O274" s="14"/>
    </row>
    <row r="275" spans="1:261" s="19" customFormat="1" ht="17.25" customHeight="1" x14ac:dyDescent="0.25">
      <c r="A275" s="103"/>
      <c r="B275" s="103"/>
      <c r="C275" s="103"/>
      <c r="D275" s="74"/>
      <c r="E275" s="74"/>
      <c r="F275" s="74"/>
      <c r="G275" s="101"/>
      <c r="H275" s="101"/>
      <c r="I275" s="101"/>
      <c r="J275" s="101"/>
      <c r="K275" s="101"/>
      <c r="L275" s="101"/>
      <c r="M275" s="101"/>
      <c r="N275" s="101"/>
      <c r="O275" s="14"/>
    </row>
    <row r="276" spans="1:261" s="19" customFormat="1" ht="67.5" customHeight="1" x14ac:dyDescent="0.25">
      <c r="A276" s="8"/>
      <c r="B276" s="109"/>
      <c r="C276" s="109"/>
      <c r="D276" s="107"/>
      <c r="E276" s="107"/>
      <c r="F276" s="65"/>
      <c r="G276" s="97"/>
      <c r="H276" s="97"/>
      <c r="I276" s="97"/>
      <c r="J276" s="97"/>
      <c r="K276" s="97"/>
      <c r="L276" s="97"/>
      <c r="M276" s="97"/>
      <c r="N276" s="97"/>
      <c r="O276" s="14"/>
    </row>
    <row r="277" spans="1:261" s="19" customFormat="1" ht="57" customHeight="1" x14ac:dyDescent="0.25">
      <c r="A277" s="132"/>
      <c r="B277" s="109"/>
      <c r="C277" s="109"/>
      <c r="D277" s="129"/>
      <c r="E277" s="107"/>
      <c r="F277" s="65"/>
      <c r="G277" s="97"/>
      <c r="H277" s="97"/>
      <c r="I277" s="97"/>
      <c r="J277" s="97"/>
      <c r="K277" s="97"/>
      <c r="L277" s="97"/>
      <c r="M277" s="97"/>
      <c r="N277" s="97"/>
      <c r="O277" s="14"/>
    </row>
    <row r="278" spans="1:261" s="19" customFormat="1" ht="60" customHeight="1" x14ac:dyDescent="0.25">
      <c r="A278" s="110"/>
      <c r="B278" s="119"/>
      <c r="C278" s="119"/>
      <c r="D278" s="124"/>
      <c r="E278" s="113"/>
      <c r="F278" s="10"/>
      <c r="G278" s="97"/>
      <c r="H278" s="97"/>
      <c r="I278" s="97"/>
      <c r="J278" s="97"/>
      <c r="K278" s="98"/>
      <c r="L278" s="98"/>
      <c r="M278" s="98"/>
      <c r="N278" s="98"/>
      <c r="O278" s="27"/>
    </row>
    <row r="279" spans="1:261" s="65" customFormat="1" ht="61.5" customHeight="1" x14ac:dyDescent="0.25">
      <c r="A279" s="108"/>
      <c r="B279" s="103"/>
      <c r="C279" s="103"/>
      <c r="D279" s="74"/>
      <c r="E279" s="74"/>
      <c r="G279" s="97"/>
      <c r="H279" s="97"/>
      <c r="I279" s="97"/>
      <c r="J279" s="97"/>
      <c r="K279" s="97"/>
      <c r="L279" s="97"/>
      <c r="M279" s="97"/>
      <c r="N279" s="97"/>
      <c r="O279" s="14"/>
    </row>
    <row r="280" spans="1:261" s="65" customFormat="1" ht="61.5" customHeight="1" x14ac:dyDescent="0.25">
      <c r="A280" s="8"/>
      <c r="B280" s="103"/>
      <c r="C280" s="103"/>
      <c r="D280" s="126"/>
      <c r="E280" s="74"/>
      <c r="G280" s="101"/>
      <c r="H280" s="101"/>
      <c r="I280" s="101"/>
      <c r="J280" s="101"/>
      <c r="K280" s="101"/>
      <c r="L280" s="101"/>
      <c r="M280" s="101"/>
      <c r="N280" s="101"/>
      <c r="O280" s="14"/>
    </row>
    <row r="281" spans="1:261" s="10" customFormat="1" ht="48.75" customHeight="1" x14ac:dyDescent="0.25">
      <c r="A281" s="100"/>
      <c r="B281" s="100"/>
      <c r="C281" s="100"/>
      <c r="D281" s="64"/>
      <c r="E281" s="64"/>
      <c r="F281" s="106"/>
      <c r="G281" s="101"/>
      <c r="H281" s="101"/>
      <c r="I281" s="101"/>
      <c r="J281" s="101"/>
      <c r="K281" s="101"/>
      <c r="L281" s="101"/>
      <c r="M281" s="101"/>
      <c r="N281" s="101"/>
      <c r="O281" s="27"/>
    </row>
    <row r="282" spans="1:261" s="65" customFormat="1" ht="16.5" customHeight="1" x14ac:dyDescent="0.25">
      <c r="A282" s="108"/>
      <c r="B282" s="109"/>
      <c r="C282" s="109"/>
      <c r="D282" s="107"/>
      <c r="E282" s="107"/>
      <c r="G282" s="97"/>
      <c r="H282" s="97"/>
      <c r="I282" s="97"/>
      <c r="J282" s="97"/>
      <c r="K282" s="97"/>
      <c r="L282" s="97"/>
      <c r="M282" s="97"/>
      <c r="N282" s="97"/>
      <c r="O282" s="14"/>
    </row>
    <row r="283" spans="1:261" s="65" customFormat="1" ht="55.5" customHeight="1" x14ac:dyDescent="0.25">
      <c r="A283" s="132"/>
      <c r="B283" s="109"/>
      <c r="C283" s="109"/>
      <c r="D283" s="129"/>
      <c r="E283" s="132"/>
      <c r="F283" s="109"/>
      <c r="G283" s="109"/>
      <c r="H283" s="109"/>
      <c r="I283" s="109"/>
      <c r="J283" s="109"/>
      <c r="K283" s="129"/>
      <c r="L283" s="129"/>
      <c r="M283" s="129"/>
      <c r="N283" s="129"/>
      <c r="O283" s="109"/>
      <c r="P283" s="109"/>
      <c r="Q283" s="129"/>
      <c r="R283" s="132"/>
      <c r="S283" s="109"/>
      <c r="T283" s="109"/>
      <c r="U283" s="129"/>
      <c r="V283" s="132"/>
      <c r="W283" s="109"/>
      <c r="X283" s="109"/>
      <c r="Y283" s="129"/>
      <c r="Z283" s="132"/>
      <c r="AA283" s="109"/>
      <c r="AB283" s="109"/>
      <c r="AC283" s="129"/>
      <c r="AD283" s="132"/>
      <c r="AE283" s="109"/>
      <c r="AF283" s="109"/>
      <c r="AG283" s="129"/>
      <c r="AH283" s="132"/>
      <c r="AI283" s="109"/>
      <c r="AJ283" s="109"/>
      <c r="AK283" s="129"/>
      <c r="AL283" s="132"/>
      <c r="AM283" s="109"/>
      <c r="AN283" s="109"/>
      <c r="AO283" s="129"/>
      <c r="AP283" s="132"/>
      <c r="AQ283" s="109"/>
      <c r="AR283" s="109"/>
      <c r="AS283" s="129"/>
      <c r="AT283" s="132"/>
      <c r="AU283" s="109"/>
      <c r="AV283" s="109"/>
      <c r="AW283" s="129"/>
      <c r="AX283" s="132"/>
      <c r="AY283" s="109"/>
      <c r="AZ283" s="109"/>
      <c r="BA283" s="129"/>
      <c r="BB283" s="132"/>
      <c r="BC283" s="109"/>
      <c r="BD283" s="109"/>
      <c r="BE283" s="129"/>
      <c r="BF283" s="132"/>
      <c r="BG283" s="109"/>
      <c r="BH283" s="109"/>
      <c r="BI283" s="129"/>
      <c r="BJ283" s="132"/>
      <c r="BK283" s="109"/>
      <c r="BL283" s="109"/>
      <c r="BM283" s="129"/>
      <c r="BN283" s="132"/>
      <c r="BO283" s="109"/>
      <c r="BP283" s="109"/>
      <c r="BQ283" s="129"/>
      <c r="BR283" s="132"/>
      <c r="BS283" s="109"/>
      <c r="BT283" s="109"/>
      <c r="BU283" s="129"/>
      <c r="BV283" s="132"/>
      <c r="BW283" s="109"/>
      <c r="BX283" s="109"/>
      <c r="BY283" s="129"/>
      <c r="BZ283" s="132"/>
      <c r="CA283" s="109"/>
      <c r="CB283" s="109"/>
      <c r="CC283" s="129"/>
      <c r="CD283" s="132"/>
      <c r="CE283" s="109"/>
      <c r="CF283" s="109"/>
      <c r="CG283" s="129"/>
      <c r="CH283" s="132"/>
      <c r="CI283" s="109"/>
      <c r="CJ283" s="109"/>
      <c r="CK283" s="129"/>
      <c r="CL283" s="132"/>
      <c r="CM283" s="109"/>
      <c r="CN283" s="109"/>
      <c r="CO283" s="129"/>
      <c r="CP283" s="132"/>
      <c r="CQ283" s="109"/>
      <c r="CR283" s="109"/>
      <c r="CS283" s="129"/>
      <c r="CT283" s="132"/>
      <c r="CU283" s="109"/>
      <c r="CV283" s="109"/>
      <c r="CW283" s="129"/>
      <c r="CX283" s="132"/>
      <c r="CY283" s="109"/>
      <c r="CZ283" s="109"/>
      <c r="DA283" s="129"/>
      <c r="DB283" s="132"/>
      <c r="DC283" s="109"/>
      <c r="DD283" s="109"/>
      <c r="DE283" s="129"/>
      <c r="DF283" s="132"/>
      <c r="DG283" s="109"/>
      <c r="DH283" s="109"/>
      <c r="DI283" s="129"/>
      <c r="DJ283" s="132"/>
      <c r="DK283" s="109"/>
      <c r="DL283" s="109"/>
      <c r="DM283" s="129"/>
      <c r="DN283" s="132"/>
      <c r="DO283" s="109"/>
      <c r="DP283" s="109"/>
      <c r="DQ283" s="129"/>
      <c r="DR283" s="132"/>
      <c r="DS283" s="109"/>
      <c r="DT283" s="109"/>
      <c r="DU283" s="129"/>
      <c r="DV283" s="132"/>
      <c r="DW283" s="109"/>
      <c r="DX283" s="109"/>
      <c r="DY283" s="129"/>
      <c r="DZ283" s="132"/>
      <c r="EA283" s="109"/>
      <c r="EB283" s="109"/>
      <c r="EC283" s="129"/>
      <c r="ED283" s="132"/>
      <c r="EE283" s="109"/>
      <c r="EF283" s="109"/>
      <c r="EG283" s="129"/>
      <c r="EH283" s="132"/>
      <c r="EI283" s="109"/>
      <c r="EJ283" s="109"/>
      <c r="EK283" s="129"/>
      <c r="EL283" s="132"/>
      <c r="EM283" s="109"/>
      <c r="EN283" s="109"/>
      <c r="EO283" s="129"/>
      <c r="EP283" s="132"/>
      <c r="EQ283" s="109"/>
      <c r="ER283" s="109"/>
      <c r="ES283" s="129"/>
      <c r="ET283" s="132"/>
      <c r="EU283" s="109"/>
      <c r="EV283" s="109"/>
      <c r="EW283" s="129"/>
      <c r="EX283" s="132"/>
      <c r="EY283" s="109"/>
      <c r="EZ283" s="109"/>
      <c r="FA283" s="129"/>
      <c r="FB283" s="132"/>
      <c r="FC283" s="109"/>
      <c r="FD283" s="109"/>
      <c r="FE283" s="129"/>
      <c r="FF283" s="132"/>
      <c r="FG283" s="109"/>
      <c r="FH283" s="109"/>
      <c r="FI283" s="129"/>
      <c r="FJ283" s="132"/>
      <c r="FK283" s="109"/>
      <c r="FL283" s="109"/>
      <c r="FM283" s="129"/>
      <c r="FN283" s="132"/>
      <c r="FO283" s="109"/>
      <c r="FP283" s="109"/>
      <c r="FQ283" s="129"/>
      <c r="FR283" s="132"/>
      <c r="FS283" s="109"/>
      <c r="FT283" s="109"/>
      <c r="FU283" s="129"/>
      <c r="FV283" s="132"/>
      <c r="FW283" s="109"/>
      <c r="FX283" s="109"/>
      <c r="FY283" s="129"/>
      <c r="FZ283" s="132"/>
      <c r="GA283" s="109"/>
      <c r="GB283" s="109"/>
      <c r="GC283" s="129"/>
      <c r="GD283" s="132"/>
      <c r="GE283" s="109"/>
      <c r="GF283" s="109"/>
      <c r="GG283" s="129"/>
      <c r="GH283" s="132"/>
      <c r="GI283" s="109"/>
      <c r="GJ283" s="109"/>
      <c r="GK283" s="129"/>
      <c r="GL283" s="132"/>
      <c r="GM283" s="109"/>
      <c r="GN283" s="109"/>
      <c r="GO283" s="129"/>
      <c r="GP283" s="132"/>
      <c r="GQ283" s="109"/>
      <c r="GR283" s="109"/>
      <c r="GS283" s="129"/>
      <c r="GT283" s="132"/>
      <c r="GU283" s="109"/>
      <c r="GV283" s="109"/>
      <c r="GW283" s="129"/>
      <c r="GX283" s="132"/>
      <c r="GY283" s="109"/>
      <c r="GZ283" s="109"/>
      <c r="HA283" s="129"/>
      <c r="HB283" s="132"/>
      <c r="HC283" s="109"/>
      <c r="HD283" s="109"/>
      <c r="HE283" s="129"/>
      <c r="HF283" s="132"/>
      <c r="HG283" s="109"/>
      <c r="HH283" s="109"/>
      <c r="HI283" s="129"/>
      <c r="HJ283" s="132"/>
      <c r="HK283" s="109"/>
      <c r="HL283" s="109"/>
      <c r="HM283" s="129"/>
      <c r="HN283" s="132"/>
      <c r="HO283" s="109"/>
      <c r="HP283" s="109"/>
      <c r="HQ283" s="129"/>
      <c r="HR283" s="132"/>
      <c r="HS283" s="109"/>
      <c r="HT283" s="109"/>
      <c r="HU283" s="129"/>
      <c r="HV283" s="132"/>
      <c r="HW283" s="109"/>
      <c r="HX283" s="109"/>
      <c r="HY283" s="129"/>
      <c r="HZ283" s="132"/>
      <c r="IA283" s="109"/>
      <c r="IB283" s="109"/>
      <c r="IC283" s="129"/>
      <c r="ID283" s="132"/>
      <c r="IE283" s="109"/>
      <c r="IF283" s="109"/>
      <c r="IG283" s="129"/>
      <c r="IH283" s="132"/>
      <c r="II283" s="109"/>
      <c r="IJ283" s="109"/>
      <c r="IK283" s="129"/>
      <c r="IL283" s="132"/>
      <c r="IM283" s="109"/>
      <c r="IN283" s="109"/>
      <c r="IO283" s="129"/>
      <c r="IP283" s="132"/>
      <c r="IQ283" s="109"/>
      <c r="IR283" s="109"/>
      <c r="IS283" s="129"/>
      <c r="IT283" s="132"/>
      <c r="IU283" s="109"/>
      <c r="IV283" s="109"/>
      <c r="IW283" s="129"/>
      <c r="IX283" s="132"/>
      <c r="IY283" s="109"/>
      <c r="IZ283" s="109"/>
      <c r="JA283" s="129"/>
    </row>
    <row r="284" spans="1:261" s="10" customFormat="1" ht="62.25" customHeight="1" x14ac:dyDescent="0.25">
      <c r="A284" s="110"/>
      <c r="B284" s="111"/>
      <c r="C284" s="111"/>
      <c r="D284" s="124"/>
      <c r="E284" s="113"/>
      <c r="G284" s="97"/>
      <c r="H284" s="97"/>
      <c r="I284" s="97"/>
      <c r="J284" s="97"/>
      <c r="K284" s="98"/>
      <c r="L284" s="98"/>
      <c r="M284" s="98"/>
      <c r="N284" s="98"/>
      <c r="O284" s="27"/>
    </row>
    <row r="285" spans="1:261" s="65" customFormat="1" ht="52.5" customHeight="1" x14ac:dyDescent="0.25">
      <c r="A285" s="108"/>
      <c r="B285" s="109"/>
      <c r="C285" s="109"/>
      <c r="D285" s="107"/>
      <c r="E285" s="107"/>
      <c r="G285" s="97"/>
      <c r="H285" s="97"/>
      <c r="I285" s="97"/>
      <c r="J285" s="97"/>
      <c r="K285" s="97"/>
      <c r="L285" s="97"/>
      <c r="M285" s="97"/>
      <c r="N285" s="97"/>
      <c r="O285" s="14"/>
    </row>
    <row r="286" spans="1:261" s="65" customFormat="1" ht="47.25" customHeight="1" x14ac:dyDescent="0.25">
      <c r="A286" s="103"/>
      <c r="B286" s="103"/>
      <c r="C286" s="103"/>
      <c r="D286" s="74"/>
      <c r="E286" s="74"/>
      <c r="F286" s="74"/>
      <c r="G286" s="101"/>
      <c r="H286" s="101"/>
      <c r="I286" s="101"/>
      <c r="J286" s="101"/>
      <c r="K286" s="97"/>
      <c r="L286" s="97"/>
      <c r="M286" s="97"/>
      <c r="N286" s="97"/>
      <c r="O286" s="14"/>
    </row>
    <row r="287" spans="1:261" s="10" customFormat="1" ht="78" customHeight="1" x14ac:dyDescent="0.25">
      <c r="A287" s="100"/>
      <c r="B287" s="100"/>
      <c r="C287" s="100"/>
      <c r="D287" s="118"/>
      <c r="E287" s="64"/>
      <c r="F287" s="64"/>
      <c r="G287" s="101"/>
      <c r="H287" s="101"/>
      <c r="I287" s="101"/>
      <c r="J287" s="101"/>
      <c r="K287" s="97"/>
      <c r="L287" s="97"/>
      <c r="M287" s="97"/>
      <c r="N287" s="97"/>
      <c r="O287" s="27"/>
    </row>
    <row r="288" spans="1:261" s="10" customFormat="1" ht="45.75" customHeight="1" x14ac:dyDescent="0.25">
      <c r="A288" s="100"/>
      <c r="B288" s="100"/>
      <c r="C288" s="100"/>
      <c r="D288" s="64"/>
      <c r="E288" s="64"/>
      <c r="F288" s="64"/>
      <c r="G288" s="101"/>
      <c r="H288" s="101"/>
      <c r="I288" s="101"/>
      <c r="J288" s="101"/>
      <c r="K288" s="97"/>
      <c r="L288" s="97"/>
      <c r="M288" s="97"/>
      <c r="N288" s="97"/>
      <c r="O288" s="27"/>
    </row>
    <row r="289" spans="1:15" s="64" customFormat="1" ht="26.25" customHeight="1" x14ac:dyDescent="0.25">
      <c r="A289" s="99"/>
      <c r="B289" s="103"/>
      <c r="C289" s="103"/>
      <c r="D289" s="107"/>
      <c r="E289" s="107"/>
      <c r="F289" s="65"/>
      <c r="G289" s="97"/>
      <c r="H289" s="97"/>
      <c r="I289" s="97"/>
      <c r="J289" s="97"/>
      <c r="K289" s="97"/>
      <c r="L289" s="97"/>
      <c r="M289" s="97"/>
      <c r="N289" s="97"/>
      <c r="O289" s="14"/>
    </row>
    <row r="290" spans="1:15" s="65" customFormat="1" ht="47.25" customHeight="1" x14ac:dyDescent="0.25">
      <c r="A290" s="108"/>
      <c r="B290" s="109"/>
      <c r="C290" s="109"/>
      <c r="D290" s="107"/>
      <c r="E290" s="107"/>
      <c r="G290" s="97"/>
      <c r="H290" s="97"/>
      <c r="I290" s="97"/>
      <c r="J290" s="97"/>
      <c r="K290" s="97"/>
      <c r="L290" s="97"/>
      <c r="M290" s="97"/>
      <c r="N290" s="97"/>
      <c r="O290" s="75"/>
    </row>
    <row r="291" spans="1:15" s="64" customFormat="1" ht="78" customHeight="1" x14ac:dyDescent="0.25">
      <c r="A291" s="133"/>
      <c r="B291" s="120"/>
      <c r="C291" s="120"/>
      <c r="D291" s="124"/>
      <c r="E291" s="113"/>
      <c r="F291" s="134"/>
      <c r="G291" s="98"/>
      <c r="H291" s="98"/>
      <c r="I291" s="98"/>
      <c r="J291" s="98"/>
      <c r="K291" s="98"/>
      <c r="L291" s="98"/>
      <c r="M291" s="98"/>
      <c r="N291" s="98"/>
      <c r="O291" s="27"/>
    </row>
    <row r="292" spans="1:15" s="64" customFormat="1" ht="48.75" customHeight="1" x14ac:dyDescent="0.25">
      <c r="A292" s="119"/>
      <c r="B292" s="135"/>
      <c r="C292" s="135"/>
      <c r="D292" s="136"/>
      <c r="E292" s="136"/>
      <c r="F292" s="65"/>
      <c r="G292" s="97"/>
      <c r="H292" s="97"/>
      <c r="I292" s="97"/>
      <c r="J292" s="97"/>
      <c r="K292" s="97"/>
      <c r="L292" s="97"/>
      <c r="M292" s="97"/>
      <c r="N292" s="97"/>
      <c r="O292" s="14"/>
    </row>
    <row r="293" spans="1:15" s="64" customFormat="1" ht="36" customHeight="1" x14ac:dyDescent="0.25">
      <c r="A293" s="103"/>
      <c r="B293" s="103"/>
      <c r="C293" s="103"/>
      <c r="D293" s="104"/>
      <c r="E293" s="136"/>
      <c r="F293" s="74"/>
      <c r="G293" s="101"/>
      <c r="H293" s="101"/>
      <c r="I293" s="101"/>
      <c r="J293" s="101"/>
      <c r="K293" s="101"/>
      <c r="L293" s="101"/>
      <c r="M293" s="101"/>
      <c r="N293" s="101"/>
      <c r="O293" s="14"/>
    </row>
    <row r="294" spans="1:15" s="64" customFormat="1" ht="20.25" customHeight="1" x14ac:dyDescent="0.25">
      <c r="A294" s="100"/>
      <c r="B294" s="100"/>
      <c r="C294" s="100"/>
      <c r="D294" s="137"/>
      <c r="E294" s="105"/>
      <c r="G294" s="101"/>
      <c r="H294" s="101"/>
      <c r="I294" s="101"/>
      <c r="J294" s="101"/>
      <c r="K294" s="101"/>
      <c r="L294" s="101"/>
      <c r="M294" s="101"/>
      <c r="N294" s="101"/>
      <c r="O294" s="27"/>
    </row>
    <row r="295" spans="1:15" s="64" customFormat="1" ht="33" customHeight="1" x14ac:dyDescent="0.25">
      <c r="A295" s="100"/>
      <c r="B295" s="100"/>
      <c r="C295" s="100"/>
      <c r="D295" s="105"/>
      <c r="E295" s="105"/>
      <c r="F295" s="138"/>
      <c r="G295" s="101"/>
      <c r="H295" s="101"/>
      <c r="I295" s="101"/>
      <c r="J295" s="101"/>
      <c r="K295" s="97"/>
      <c r="L295" s="97"/>
      <c r="M295" s="97"/>
      <c r="N295" s="97"/>
      <c r="O295" s="27"/>
    </row>
    <row r="296" spans="1:15" s="64" customFormat="1" ht="22.5" customHeight="1" x14ac:dyDescent="0.25">
      <c r="A296" s="100"/>
      <c r="B296" s="100"/>
      <c r="C296" s="100"/>
      <c r="D296" s="105"/>
      <c r="E296" s="105"/>
      <c r="G296" s="101"/>
      <c r="H296" s="101"/>
      <c r="I296" s="101"/>
      <c r="J296" s="101"/>
      <c r="K296" s="97"/>
      <c r="L296" s="97"/>
      <c r="M296" s="97"/>
      <c r="N296" s="97"/>
      <c r="O296" s="27"/>
    </row>
    <row r="297" spans="1:15" s="64" customFormat="1" ht="66.75" customHeight="1" x14ac:dyDescent="0.25">
      <c r="A297" s="99"/>
      <c r="B297" s="100"/>
      <c r="C297" s="100"/>
      <c r="D297" s="105"/>
      <c r="E297" s="105"/>
      <c r="F297" s="106"/>
      <c r="G297" s="101"/>
      <c r="H297" s="101"/>
      <c r="I297" s="101"/>
      <c r="J297" s="101"/>
      <c r="K297" s="97"/>
      <c r="L297" s="97"/>
      <c r="M297" s="97"/>
      <c r="N297" s="97"/>
      <c r="O297" s="27"/>
    </row>
    <row r="298" spans="1:15" s="64" customFormat="1" ht="54" customHeight="1" x14ac:dyDescent="0.25">
      <c r="A298" s="103"/>
      <c r="B298" s="103"/>
      <c r="C298" s="103"/>
      <c r="D298" s="74"/>
      <c r="E298" s="74"/>
      <c r="F298" s="139"/>
      <c r="G298" s="101"/>
      <c r="H298" s="101"/>
      <c r="I298" s="101"/>
      <c r="J298" s="101"/>
      <c r="K298" s="97"/>
      <c r="L298" s="97"/>
      <c r="M298" s="97"/>
      <c r="N298" s="97"/>
      <c r="O298" s="14"/>
    </row>
    <row r="299" spans="1:15" s="64" customFormat="1" ht="20.25" customHeight="1" x14ac:dyDescent="0.25">
      <c r="A299" s="103"/>
      <c r="B299" s="103"/>
      <c r="C299" s="103"/>
      <c r="D299" s="74"/>
      <c r="E299" s="74"/>
      <c r="F299" s="139"/>
      <c r="G299" s="101"/>
      <c r="H299" s="101"/>
      <c r="I299" s="101"/>
      <c r="J299" s="101"/>
      <c r="K299" s="97"/>
      <c r="L299" s="97"/>
      <c r="M299" s="97"/>
      <c r="N299" s="97"/>
      <c r="O299" s="14"/>
    </row>
    <row r="300" spans="1:15" s="64" customFormat="1" ht="48.75" customHeight="1" x14ac:dyDescent="0.25">
      <c r="A300" s="100"/>
      <c r="B300" s="100"/>
      <c r="C300" s="100"/>
      <c r="F300" s="106"/>
      <c r="G300" s="101"/>
      <c r="H300" s="101"/>
      <c r="I300" s="101"/>
      <c r="J300" s="101"/>
      <c r="K300" s="97"/>
      <c r="L300" s="97"/>
      <c r="M300" s="97"/>
      <c r="N300" s="97"/>
      <c r="O300" s="27"/>
    </row>
    <row r="301" spans="1:15" s="15" customFormat="1" ht="113.25" customHeight="1" x14ac:dyDescent="0.25">
      <c r="A301" s="94"/>
      <c r="B301" s="94"/>
      <c r="C301" s="94"/>
      <c r="D301" s="140"/>
      <c r="E301" s="140"/>
      <c r="F301" s="65"/>
      <c r="G301" s="141"/>
      <c r="H301" s="141"/>
      <c r="I301" s="141"/>
      <c r="J301" s="141"/>
      <c r="K301" s="97"/>
      <c r="L301" s="97"/>
      <c r="M301" s="97"/>
      <c r="N301" s="97"/>
      <c r="O301" s="14"/>
    </row>
    <row r="302" spans="1:15" s="15" customFormat="1" ht="50.25" customHeight="1" x14ac:dyDescent="0.25">
      <c r="A302" s="8"/>
      <c r="B302" s="103"/>
      <c r="C302" s="103"/>
      <c r="D302" s="104"/>
      <c r="E302" s="104"/>
      <c r="F302" s="139"/>
      <c r="G302" s="142"/>
      <c r="H302" s="142"/>
      <c r="I302" s="142"/>
      <c r="J302" s="142"/>
      <c r="K302" s="101"/>
      <c r="L302" s="101"/>
      <c r="M302" s="101"/>
      <c r="N302" s="101"/>
      <c r="O302" s="14"/>
    </row>
    <row r="303" spans="1:15" s="64" customFormat="1" ht="50.25" customHeight="1" x14ac:dyDescent="0.25">
      <c r="A303" s="103"/>
      <c r="B303" s="103"/>
      <c r="C303" s="103"/>
      <c r="D303" s="74"/>
      <c r="E303" s="74"/>
      <c r="F303" s="143"/>
      <c r="G303" s="101"/>
      <c r="H303" s="101"/>
      <c r="I303" s="101"/>
      <c r="J303" s="101"/>
      <c r="K303" s="97"/>
      <c r="L303" s="97"/>
      <c r="M303" s="97"/>
      <c r="N303" s="97"/>
      <c r="O303" s="14"/>
    </row>
    <row r="304" spans="1:15" s="64" customFormat="1" ht="92.25" customHeight="1" x14ac:dyDescent="0.25">
      <c r="A304" s="8"/>
      <c r="B304" s="103"/>
      <c r="C304" s="103"/>
      <c r="D304" s="74"/>
      <c r="E304" s="74"/>
      <c r="F304" s="74"/>
      <c r="G304" s="101"/>
      <c r="H304" s="101"/>
      <c r="I304" s="101"/>
      <c r="J304" s="101"/>
      <c r="K304" s="101"/>
      <c r="L304" s="101"/>
      <c r="M304" s="101"/>
      <c r="N304" s="101"/>
      <c r="O304" s="14"/>
    </row>
    <row r="305" spans="1:15" s="64" customFormat="1" ht="51" customHeight="1" x14ac:dyDescent="0.25">
      <c r="A305" s="119"/>
      <c r="B305" s="135"/>
      <c r="C305" s="135"/>
      <c r="D305" s="136"/>
      <c r="E305" s="136"/>
      <c r="F305" s="65"/>
      <c r="G305" s="97"/>
      <c r="H305" s="97"/>
      <c r="I305" s="97"/>
      <c r="J305" s="97"/>
      <c r="K305" s="97"/>
      <c r="L305" s="97"/>
      <c r="M305" s="97"/>
      <c r="N305" s="97"/>
      <c r="O305" s="14"/>
    </row>
    <row r="306" spans="1:15" s="64" customFormat="1" ht="31.5" customHeight="1" x14ac:dyDescent="0.25">
      <c r="A306" s="103"/>
      <c r="B306" s="103"/>
      <c r="C306" s="103"/>
      <c r="D306" s="74"/>
      <c r="E306" s="74"/>
      <c r="F306" s="139"/>
      <c r="G306" s="101"/>
      <c r="H306" s="101"/>
      <c r="I306" s="101"/>
      <c r="J306" s="101"/>
      <c r="K306" s="97"/>
      <c r="L306" s="97"/>
      <c r="M306" s="97"/>
      <c r="N306" s="97"/>
      <c r="O306" s="14"/>
    </row>
    <row r="307" spans="1:15" s="64" customFormat="1" ht="15.75" customHeight="1" x14ac:dyDescent="0.25">
      <c r="A307" s="103"/>
      <c r="B307" s="103"/>
      <c r="C307" s="103"/>
      <c r="D307" s="107"/>
      <c r="E307" s="74"/>
      <c r="F307" s="139"/>
      <c r="G307" s="97"/>
      <c r="H307" s="97"/>
      <c r="I307" s="97"/>
      <c r="J307" s="97"/>
      <c r="K307" s="97"/>
      <c r="L307" s="97"/>
      <c r="M307" s="97"/>
      <c r="N307" s="97"/>
      <c r="O307" s="14"/>
    </row>
    <row r="308" spans="1:15" s="51" customFormat="1" ht="18.75" customHeight="1" x14ac:dyDescent="0.25">
      <c r="A308" s="144"/>
      <c r="B308" s="132"/>
      <c r="C308" s="132"/>
      <c r="D308" s="145"/>
      <c r="E308" s="146"/>
      <c r="F308" s="73"/>
      <c r="G308" s="147"/>
      <c r="H308" s="147"/>
      <c r="I308" s="147"/>
      <c r="J308" s="147"/>
      <c r="K308" s="147"/>
      <c r="L308" s="147"/>
      <c r="M308" s="147"/>
      <c r="N308" s="147"/>
      <c r="O308" s="14"/>
    </row>
    <row r="309" spans="1:15" s="51" customFormat="1" ht="18" customHeight="1" x14ac:dyDescent="0.25">
      <c r="B309" s="148"/>
      <c r="C309" s="148"/>
      <c r="D309" s="107"/>
      <c r="E309" s="107"/>
      <c r="F309" s="65"/>
      <c r="G309" s="97"/>
      <c r="H309" s="97"/>
      <c r="I309" s="97"/>
      <c r="J309" s="97"/>
      <c r="K309" s="97"/>
      <c r="L309" s="97"/>
      <c r="M309" s="97"/>
      <c r="N309" s="97"/>
    </row>
    <row r="310" spans="1:15" s="65" customFormat="1" ht="27.75" customHeight="1" x14ac:dyDescent="0.3">
      <c r="A310" s="149"/>
      <c r="B310" s="150"/>
      <c r="C310" s="150"/>
      <c r="D310" s="149"/>
      <c r="E310" s="149"/>
      <c r="F310" s="151"/>
      <c r="G310" s="151"/>
      <c r="H310" s="151"/>
      <c r="I310" s="151"/>
      <c r="J310" s="151"/>
      <c r="K310" s="151"/>
      <c r="L310" s="151"/>
      <c r="M310" s="151"/>
      <c r="N310" s="151"/>
    </row>
    <row r="311" spans="1:15" s="51" customFormat="1" ht="20.25" customHeight="1" x14ac:dyDescent="0.3">
      <c r="A311" s="149"/>
      <c r="B311" s="150"/>
      <c r="C311" s="150"/>
      <c r="D311" s="149"/>
      <c r="E311" s="149"/>
      <c r="F311" s="151"/>
      <c r="G311" s="151"/>
      <c r="H311" s="151"/>
      <c r="I311" s="151"/>
      <c r="J311" s="151"/>
      <c r="K311" s="149"/>
      <c r="L311" s="149"/>
      <c r="M311" s="149"/>
      <c r="N311" s="149"/>
    </row>
    <row r="312" spans="1:15" x14ac:dyDescent="0.2">
      <c r="A312" s="1"/>
      <c r="B312" s="2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5" x14ac:dyDescent="0.2">
      <c r="A313" s="1"/>
      <c r="B313" s="2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5" x14ac:dyDescent="0.2">
      <c r="A314" s="1"/>
      <c r="B314" s="2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5" x14ac:dyDescent="0.2">
      <c r="A315" s="1"/>
      <c r="B315" s="2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5" x14ac:dyDescent="0.2">
      <c r="A316" s="1"/>
      <c r="B316" s="2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5" x14ac:dyDescent="0.2">
      <c r="A317" s="1"/>
      <c r="B317" s="2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5" x14ac:dyDescent="0.2">
      <c r="A318" s="1"/>
      <c r="B318" s="2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5" x14ac:dyDescent="0.2">
      <c r="A319" s="1"/>
      <c r="B319" s="2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5" x14ac:dyDescent="0.2">
      <c r="A320" s="1"/>
      <c r="B320" s="2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x14ac:dyDescent="0.2">
      <c r="A321" s="1"/>
      <c r="B321" s="2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x14ac:dyDescent="0.2">
      <c r="A322" s="1"/>
      <c r="B322" s="2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x14ac:dyDescent="0.2">
      <c r="A323" s="1"/>
      <c r="B323" s="2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x14ac:dyDescent="0.2">
      <c r="A324" s="1"/>
      <c r="B324" s="2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x14ac:dyDescent="0.2">
      <c r="A325" s="1"/>
      <c r="B325" s="2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x14ac:dyDescent="0.2">
      <c r="A326" s="1"/>
      <c r="B326" s="2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x14ac:dyDescent="0.2">
      <c r="A327" s="1"/>
      <c r="B327" s="2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x14ac:dyDescent="0.2">
      <c r="A328" s="1"/>
      <c r="B328" s="2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x14ac:dyDescent="0.2">
      <c r="A329" s="1"/>
      <c r="B329" s="2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x14ac:dyDescent="0.2">
      <c r="A330" s="1"/>
      <c r="B330" s="2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x14ac:dyDescent="0.2">
      <c r="A331" s="1"/>
      <c r="B331" s="2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x14ac:dyDescent="0.2">
      <c r="A332" s="1"/>
      <c r="B332" s="2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x14ac:dyDescent="0.2">
      <c r="A333" s="1"/>
      <c r="B333" s="2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x14ac:dyDescent="0.2">
      <c r="A334" s="1"/>
      <c r="B334" s="2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x14ac:dyDescent="0.2">
      <c r="A335" s="1"/>
      <c r="B335" s="2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x14ac:dyDescent="0.2">
      <c r="A336" s="1"/>
      <c r="B336" s="2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x14ac:dyDescent="0.2">
      <c r="A337" s="1"/>
      <c r="B337" s="2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x14ac:dyDescent="0.2">
      <c r="A338" s="1"/>
      <c r="B338" s="2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x14ac:dyDescent="0.2">
      <c r="A339" s="1"/>
      <c r="B339" s="2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x14ac:dyDescent="0.2">
      <c r="A340" s="1"/>
      <c r="B340" s="2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x14ac:dyDescent="0.2">
      <c r="A341" s="1"/>
      <c r="B341" s="2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x14ac:dyDescent="0.2">
      <c r="A342" s="1"/>
      <c r="B342" s="2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x14ac:dyDescent="0.2">
      <c r="A343" s="1"/>
      <c r="B343" s="2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x14ac:dyDescent="0.2">
      <c r="A344" s="1"/>
      <c r="B344" s="2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x14ac:dyDescent="0.2">
      <c r="A345" s="1"/>
      <c r="B345" s="2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x14ac:dyDescent="0.2">
      <c r="A346" s="1"/>
      <c r="B346" s="2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x14ac:dyDescent="0.2">
      <c r="A347" s="1"/>
      <c r="B347" s="2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x14ac:dyDescent="0.2">
      <c r="A348" s="1"/>
      <c r="B348" s="2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x14ac:dyDescent="0.2">
      <c r="A349" s="1"/>
      <c r="B349" s="2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x14ac:dyDescent="0.2">
      <c r="A350" s="1"/>
      <c r="B350" s="2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x14ac:dyDescent="0.2">
      <c r="A351" s="1"/>
      <c r="B351" s="2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x14ac:dyDescent="0.2">
      <c r="A352" s="1"/>
      <c r="B352" s="2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x14ac:dyDescent="0.2">
      <c r="A353" s="1"/>
      <c r="B353" s="2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x14ac:dyDescent="0.2">
      <c r="A354" s="1"/>
      <c r="B354" s="2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x14ac:dyDescent="0.2">
      <c r="A355" s="1"/>
      <c r="B355" s="2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x14ac:dyDescent="0.2">
      <c r="A356" s="1"/>
      <c r="B356" s="2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x14ac:dyDescent="0.2">
      <c r="A357" s="1"/>
      <c r="B357" s="2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x14ac:dyDescent="0.2">
      <c r="A358" s="1"/>
      <c r="B358" s="2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x14ac:dyDescent="0.2">
      <c r="A359" s="1"/>
      <c r="B359" s="2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x14ac:dyDescent="0.2">
      <c r="A360" s="1"/>
      <c r="B360" s="2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x14ac:dyDescent="0.2">
      <c r="A361" s="1"/>
      <c r="B361" s="2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x14ac:dyDescent="0.2">
      <c r="A362" s="1"/>
      <c r="B362" s="2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x14ac:dyDescent="0.2">
      <c r="A363" s="1"/>
      <c r="B363" s="2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x14ac:dyDescent="0.2">
      <c r="A364" s="1"/>
      <c r="B364" s="2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x14ac:dyDescent="0.2">
      <c r="A365" s="1"/>
      <c r="B365" s="2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x14ac:dyDescent="0.2">
      <c r="A366" s="1"/>
      <c r="B366" s="2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x14ac:dyDescent="0.2">
      <c r="A367" s="1"/>
      <c r="B367" s="2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x14ac:dyDescent="0.2">
      <c r="A368" s="1"/>
      <c r="B368" s="2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x14ac:dyDescent="0.2">
      <c r="A369" s="1"/>
      <c r="B369" s="2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x14ac:dyDescent="0.2">
      <c r="A370" s="1"/>
      <c r="B370" s="2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</sheetData>
  <mergeCells count="10">
    <mergeCell ref="K2:N2"/>
    <mergeCell ref="B4:N4"/>
    <mergeCell ref="B9:N9"/>
    <mergeCell ref="A7:A8"/>
    <mergeCell ref="B7:B8"/>
    <mergeCell ref="C7:C8"/>
    <mergeCell ref="D7:E8"/>
    <mergeCell ref="F7:F8"/>
    <mergeCell ref="G7:I7"/>
    <mergeCell ref="K7:N7"/>
  </mergeCells>
  <conditionalFormatting sqref="K289:N290">
    <cfRule type="cellIs" dxfId="3" priority="2" stopIfTrue="1" operator="equal">
      <formula>0</formula>
    </cfRule>
  </conditionalFormatting>
  <conditionalFormatting sqref="O26:V29">
    <cfRule type="cellIs" dxfId="2" priority="1" stopIfTrue="1" operator="equal">
      <formula>0</formula>
    </cfRule>
  </conditionalFormatting>
  <hyperlinks>
    <hyperlink ref="F22" r:id="rId1" display="http://akts.yu.mk.ua/showdoc/4829/"/>
  </hyperlinks>
  <pageMargins left="1.1023622047244095" right="0.11811023622047245" top="0.55118110236220474" bottom="0.15748031496062992" header="0.31496062992125984" footer="0.31496062992125984"/>
  <pageSetup paperSize="9" scale="42" fitToHeight="10" orientation="landscape" blackAndWhite="1" r:id="rId2"/>
  <rowBreaks count="2" manualBreakCount="2">
    <brk id="59" max="13" man="1"/>
    <brk id="19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371"/>
  <sheetViews>
    <sheetView view="pageBreakPreview" zoomScale="60" zoomScaleNormal="66" workbookViewId="0">
      <pane ySplit="9" topLeftCell="A109" activePane="bottomLeft" state="frozen"/>
      <selection pane="bottomLeft" sqref="A1:XFD1048576"/>
    </sheetView>
  </sheetViews>
  <sheetFormatPr defaultColWidth="8.7109375" defaultRowHeight="12.75" x14ac:dyDescent="0.2"/>
  <cols>
    <col min="1" max="1" width="13" style="152" customWidth="1"/>
    <col min="2" max="2" width="12.140625" style="153" customWidth="1"/>
    <col min="3" max="3" width="11.28515625" style="153" customWidth="1"/>
    <col min="4" max="4" width="37.140625" style="152" customWidth="1"/>
    <col min="5" max="5" width="2.140625" style="152" hidden="1" customWidth="1"/>
    <col min="6" max="6" width="58.7109375" style="152" customWidth="1"/>
    <col min="7" max="10" width="16.7109375" style="152" customWidth="1"/>
    <col min="11" max="11" width="18.140625" style="152" customWidth="1"/>
    <col min="12" max="14" width="16.7109375" style="152" customWidth="1"/>
    <col min="15" max="15" width="53.28515625" style="1" customWidth="1"/>
    <col min="16" max="16" width="15.42578125" style="1" customWidth="1"/>
    <col min="17" max="261" width="8.7109375" style="1"/>
    <col min="262" max="262" width="13" style="1" customWidth="1"/>
    <col min="263" max="263" width="12.140625" style="1" customWidth="1"/>
    <col min="264" max="264" width="11.28515625" style="1" customWidth="1"/>
    <col min="265" max="265" width="37.140625" style="1" customWidth="1"/>
    <col min="266" max="266" width="0" style="1" hidden="1" customWidth="1"/>
    <col min="267" max="267" width="58.7109375" style="1" customWidth="1"/>
    <col min="268" max="270" width="16.7109375" style="1" customWidth="1"/>
    <col min="271" max="271" width="53.28515625" style="1" customWidth="1"/>
    <col min="272" max="272" width="15.42578125" style="1" customWidth="1"/>
    <col min="273" max="517" width="8.7109375" style="1"/>
    <col min="518" max="518" width="13" style="1" customWidth="1"/>
    <col min="519" max="519" width="12.140625" style="1" customWidth="1"/>
    <col min="520" max="520" width="11.28515625" style="1" customWidth="1"/>
    <col min="521" max="521" width="37.140625" style="1" customWidth="1"/>
    <col min="522" max="522" width="0" style="1" hidden="1" customWidth="1"/>
    <col min="523" max="523" width="58.7109375" style="1" customWidth="1"/>
    <col min="524" max="526" width="16.7109375" style="1" customWidth="1"/>
    <col min="527" max="527" width="53.28515625" style="1" customWidth="1"/>
    <col min="528" max="528" width="15.42578125" style="1" customWidth="1"/>
    <col min="529" max="773" width="8.7109375" style="1"/>
    <col min="774" max="774" width="13" style="1" customWidth="1"/>
    <col min="775" max="775" width="12.140625" style="1" customWidth="1"/>
    <col min="776" max="776" width="11.28515625" style="1" customWidth="1"/>
    <col min="777" max="777" width="37.140625" style="1" customWidth="1"/>
    <col min="778" max="778" width="0" style="1" hidden="1" customWidth="1"/>
    <col min="779" max="779" width="58.7109375" style="1" customWidth="1"/>
    <col min="780" max="782" width="16.7109375" style="1" customWidth="1"/>
    <col min="783" max="783" width="53.28515625" style="1" customWidth="1"/>
    <col min="784" max="784" width="15.42578125" style="1" customWidth="1"/>
    <col min="785" max="1029" width="8.7109375" style="1"/>
    <col min="1030" max="1030" width="13" style="1" customWidth="1"/>
    <col min="1031" max="1031" width="12.140625" style="1" customWidth="1"/>
    <col min="1032" max="1032" width="11.28515625" style="1" customWidth="1"/>
    <col min="1033" max="1033" width="37.140625" style="1" customWidth="1"/>
    <col min="1034" max="1034" width="0" style="1" hidden="1" customWidth="1"/>
    <col min="1035" max="1035" width="58.7109375" style="1" customWidth="1"/>
    <col min="1036" max="1038" width="16.7109375" style="1" customWidth="1"/>
    <col min="1039" max="1039" width="53.28515625" style="1" customWidth="1"/>
    <col min="1040" max="1040" width="15.42578125" style="1" customWidth="1"/>
    <col min="1041" max="1285" width="8.7109375" style="1"/>
    <col min="1286" max="1286" width="13" style="1" customWidth="1"/>
    <col min="1287" max="1287" width="12.140625" style="1" customWidth="1"/>
    <col min="1288" max="1288" width="11.28515625" style="1" customWidth="1"/>
    <col min="1289" max="1289" width="37.140625" style="1" customWidth="1"/>
    <col min="1290" max="1290" width="0" style="1" hidden="1" customWidth="1"/>
    <col min="1291" max="1291" width="58.7109375" style="1" customWidth="1"/>
    <col min="1292" max="1294" width="16.7109375" style="1" customWidth="1"/>
    <col min="1295" max="1295" width="53.28515625" style="1" customWidth="1"/>
    <col min="1296" max="1296" width="15.42578125" style="1" customWidth="1"/>
    <col min="1297" max="1541" width="8.7109375" style="1"/>
    <col min="1542" max="1542" width="13" style="1" customWidth="1"/>
    <col min="1543" max="1543" width="12.140625" style="1" customWidth="1"/>
    <col min="1544" max="1544" width="11.28515625" style="1" customWidth="1"/>
    <col min="1545" max="1545" width="37.140625" style="1" customWidth="1"/>
    <col min="1546" max="1546" width="0" style="1" hidden="1" customWidth="1"/>
    <col min="1547" max="1547" width="58.7109375" style="1" customWidth="1"/>
    <col min="1548" max="1550" width="16.7109375" style="1" customWidth="1"/>
    <col min="1551" max="1551" width="53.28515625" style="1" customWidth="1"/>
    <col min="1552" max="1552" width="15.42578125" style="1" customWidth="1"/>
    <col min="1553" max="1797" width="8.7109375" style="1"/>
    <col min="1798" max="1798" width="13" style="1" customWidth="1"/>
    <col min="1799" max="1799" width="12.140625" style="1" customWidth="1"/>
    <col min="1800" max="1800" width="11.28515625" style="1" customWidth="1"/>
    <col min="1801" max="1801" width="37.140625" style="1" customWidth="1"/>
    <col min="1802" max="1802" width="0" style="1" hidden="1" customWidth="1"/>
    <col min="1803" max="1803" width="58.7109375" style="1" customWidth="1"/>
    <col min="1804" max="1806" width="16.7109375" style="1" customWidth="1"/>
    <col min="1807" max="1807" width="53.28515625" style="1" customWidth="1"/>
    <col min="1808" max="1808" width="15.42578125" style="1" customWidth="1"/>
    <col min="1809" max="2053" width="8.7109375" style="1"/>
    <col min="2054" max="2054" width="13" style="1" customWidth="1"/>
    <col min="2055" max="2055" width="12.140625" style="1" customWidth="1"/>
    <col min="2056" max="2056" width="11.28515625" style="1" customWidth="1"/>
    <col min="2057" max="2057" width="37.140625" style="1" customWidth="1"/>
    <col min="2058" max="2058" width="0" style="1" hidden="1" customWidth="1"/>
    <col min="2059" max="2059" width="58.7109375" style="1" customWidth="1"/>
    <col min="2060" max="2062" width="16.7109375" style="1" customWidth="1"/>
    <col min="2063" max="2063" width="53.28515625" style="1" customWidth="1"/>
    <col min="2064" max="2064" width="15.42578125" style="1" customWidth="1"/>
    <col min="2065" max="2309" width="8.7109375" style="1"/>
    <col min="2310" max="2310" width="13" style="1" customWidth="1"/>
    <col min="2311" max="2311" width="12.140625" style="1" customWidth="1"/>
    <col min="2312" max="2312" width="11.28515625" style="1" customWidth="1"/>
    <col min="2313" max="2313" width="37.140625" style="1" customWidth="1"/>
    <col min="2314" max="2314" width="0" style="1" hidden="1" customWidth="1"/>
    <col min="2315" max="2315" width="58.7109375" style="1" customWidth="1"/>
    <col min="2316" max="2318" width="16.7109375" style="1" customWidth="1"/>
    <col min="2319" max="2319" width="53.28515625" style="1" customWidth="1"/>
    <col min="2320" max="2320" width="15.42578125" style="1" customWidth="1"/>
    <col min="2321" max="2565" width="8.7109375" style="1"/>
    <col min="2566" max="2566" width="13" style="1" customWidth="1"/>
    <col min="2567" max="2567" width="12.140625" style="1" customWidth="1"/>
    <col min="2568" max="2568" width="11.28515625" style="1" customWidth="1"/>
    <col min="2569" max="2569" width="37.140625" style="1" customWidth="1"/>
    <col min="2570" max="2570" width="0" style="1" hidden="1" customWidth="1"/>
    <col min="2571" max="2571" width="58.7109375" style="1" customWidth="1"/>
    <col min="2572" max="2574" width="16.7109375" style="1" customWidth="1"/>
    <col min="2575" max="2575" width="53.28515625" style="1" customWidth="1"/>
    <col min="2576" max="2576" width="15.42578125" style="1" customWidth="1"/>
    <col min="2577" max="2821" width="8.7109375" style="1"/>
    <col min="2822" max="2822" width="13" style="1" customWidth="1"/>
    <col min="2823" max="2823" width="12.140625" style="1" customWidth="1"/>
    <col min="2824" max="2824" width="11.28515625" style="1" customWidth="1"/>
    <col min="2825" max="2825" width="37.140625" style="1" customWidth="1"/>
    <col min="2826" max="2826" width="0" style="1" hidden="1" customWidth="1"/>
    <col min="2827" max="2827" width="58.7109375" style="1" customWidth="1"/>
    <col min="2828" max="2830" width="16.7109375" style="1" customWidth="1"/>
    <col min="2831" max="2831" width="53.28515625" style="1" customWidth="1"/>
    <col min="2832" max="2832" width="15.42578125" style="1" customWidth="1"/>
    <col min="2833" max="3077" width="8.7109375" style="1"/>
    <col min="3078" max="3078" width="13" style="1" customWidth="1"/>
    <col min="3079" max="3079" width="12.140625" style="1" customWidth="1"/>
    <col min="3080" max="3080" width="11.28515625" style="1" customWidth="1"/>
    <col min="3081" max="3081" width="37.140625" style="1" customWidth="1"/>
    <col min="3082" max="3082" width="0" style="1" hidden="1" customWidth="1"/>
    <col min="3083" max="3083" width="58.7109375" style="1" customWidth="1"/>
    <col min="3084" max="3086" width="16.7109375" style="1" customWidth="1"/>
    <col min="3087" max="3087" width="53.28515625" style="1" customWidth="1"/>
    <col min="3088" max="3088" width="15.42578125" style="1" customWidth="1"/>
    <col min="3089" max="3333" width="8.7109375" style="1"/>
    <col min="3334" max="3334" width="13" style="1" customWidth="1"/>
    <col min="3335" max="3335" width="12.140625" style="1" customWidth="1"/>
    <col min="3336" max="3336" width="11.28515625" style="1" customWidth="1"/>
    <col min="3337" max="3337" width="37.140625" style="1" customWidth="1"/>
    <col min="3338" max="3338" width="0" style="1" hidden="1" customWidth="1"/>
    <col min="3339" max="3339" width="58.7109375" style="1" customWidth="1"/>
    <col min="3340" max="3342" width="16.7109375" style="1" customWidth="1"/>
    <col min="3343" max="3343" width="53.28515625" style="1" customWidth="1"/>
    <col min="3344" max="3344" width="15.42578125" style="1" customWidth="1"/>
    <col min="3345" max="3589" width="8.7109375" style="1"/>
    <col min="3590" max="3590" width="13" style="1" customWidth="1"/>
    <col min="3591" max="3591" width="12.140625" style="1" customWidth="1"/>
    <col min="3592" max="3592" width="11.28515625" style="1" customWidth="1"/>
    <col min="3593" max="3593" width="37.140625" style="1" customWidth="1"/>
    <col min="3594" max="3594" width="0" style="1" hidden="1" customWidth="1"/>
    <col min="3595" max="3595" width="58.7109375" style="1" customWidth="1"/>
    <col min="3596" max="3598" width="16.7109375" style="1" customWidth="1"/>
    <col min="3599" max="3599" width="53.28515625" style="1" customWidth="1"/>
    <col min="3600" max="3600" width="15.42578125" style="1" customWidth="1"/>
    <col min="3601" max="3845" width="8.7109375" style="1"/>
    <col min="3846" max="3846" width="13" style="1" customWidth="1"/>
    <col min="3847" max="3847" width="12.140625" style="1" customWidth="1"/>
    <col min="3848" max="3848" width="11.28515625" style="1" customWidth="1"/>
    <col min="3849" max="3849" width="37.140625" style="1" customWidth="1"/>
    <col min="3850" max="3850" width="0" style="1" hidden="1" customWidth="1"/>
    <col min="3851" max="3851" width="58.7109375" style="1" customWidth="1"/>
    <col min="3852" max="3854" width="16.7109375" style="1" customWidth="1"/>
    <col min="3855" max="3855" width="53.28515625" style="1" customWidth="1"/>
    <col min="3856" max="3856" width="15.42578125" style="1" customWidth="1"/>
    <col min="3857" max="4101" width="8.7109375" style="1"/>
    <col min="4102" max="4102" width="13" style="1" customWidth="1"/>
    <col min="4103" max="4103" width="12.140625" style="1" customWidth="1"/>
    <col min="4104" max="4104" width="11.28515625" style="1" customWidth="1"/>
    <col min="4105" max="4105" width="37.140625" style="1" customWidth="1"/>
    <col min="4106" max="4106" width="0" style="1" hidden="1" customWidth="1"/>
    <col min="4107" max="4107" width="58.7109375" style="1" customWidth="1"/>
    <col min="4108" max="4110" width="16.7109375" style="1" customWidth="1"/>
    <col min="4111" max="4111" width="53.28515625" style="1" customWidth="1"/>
    <col min="4112" max="4112" width="15.42578125" style="1" customWidth="1"/>
    <col min="4113" max="4357" width="8.7109375" style="1"/>
    <col min="4358" max="4358" width="13" style="1" customWidth="1"/>
    <col min="4359" max="4359" width="12.140625" style="1" customWidth="1"/>
    <col min="4360" max="4360" width="11.28515625" style="1" customWidth="1"/>
    <col min="4361" max="4361" width="37.140625" style="1" customWidth="1"/>
    <col min="4362" max="4362" width="0" style="1" hidden="1" customWidth="1"/>
    <col min="4363" max="4363" width="58.7109375" style="1" customWidth="1"/>
    <col min="4364" max="4366" width="16.7109375" style="1" customWidth="1"/>
    <col min="4367" max="4367" width="53.28515625" style="1" customWidth="1"/>
    <col min="4368" max="4368" width="15.42578125" style="1" customWidth="1"/>
    <col min="4369" max="4613" width="8.7109375" style="1"/>
    <col min="4614" max="4614" width="13" style="1" customWidth="1"/>
    <col min="4615" max="4615" width="12.140625" style="1" customWidth="1"/>
    <col min="4616" max="4616" width="11.28515625" style="1" customWidth="1"/>
    <col min="4617" max="4617" width="37.140625" style="1" customWidth="1"/>
    <col min="4618" max="4618" width="0" style="1" hidden="1" customWidth="1"/>
    <col min="4619" max="4619" width="58.7109375" style="1" customWidth="1"/>
    <col min="4620" max="4622" width="16.7109375" style="1" customWidth="1"/>
    <col min="4623" max="4623" width="53.28515625" style="1" customWidth="1"/>
    <col min="4624" max="4624" width="15.42578125" style="1" customWidth="1"/>
    <col min="4625" max="4869" width="8.7109375" style="1"/>
    <col min="4870" max="4870" width="13" style="1" customWidth="1"/>
    <col min="4871" max="4871" width="12.140625" style="1" customWidth="1"/>
    <col min="4872" max="4872" width="11.28515625" style="1" customWidth="1"/>
    <col min="4873" max="4873" width="37.140625" style="1" customWidth="1"/>
    <col min="4874" max="4874" width="0" style="1" hidden="1" customWidth="1"/>
    <col min="4875" max="4875" width="58.7109375" style="1" customWidth="1"/>
    <col min="4876" max="4878" width="16.7109375" style="1" customWidth="1"/>
    <col min="4879" max="4879" width="53.28515625" style="1" customWidth="1"/>
    <col min="4880" max="4880" width="15.42578125" style="1" customWidth="1"/>
    <col min="4881" max="5125" width="8.7109375" style="1"/>
    <col min="5126" max="5126" width="13" style="1" customWidth="1"/>
    <col min="5127" max="5127" width="12.140625" style="1" customWidth="1"/>
    <col min="5128" max="5128" width="11.28515625" style="1" customWidth="1"/>
    <col min="5129" max="5129" width="37.140625" style="1" customWidth="1"/>
    <col min="5130" max="5130" width="0" style="1" hidden="1" customWidth="1"/>
    <col min="5131" max="5131" width="58.7109375" style="1" customWidth="1"/>
    <col min="5132" max="5134" width="16.7109375" style="1" customWidth="1"/>
    <col min="5135" max="5135" width="53.28515625" style="1" customWidth="1"/>
    <col min="5136" max="5136" width="15.42578125" style="1" customWidth="1"/>
    <col min="5137" max="5381" width="8.7109375" style="1"/>
    <col min="5382" max="5382" width="13" style="1" customWidth="1"/>
    <col min="5383" max="5383" width="12.140625" style="1" customWidth="1"/>
    <col min="5384" max="5384" width="11.28515625" style="1" customWidth="1"/>
    <col min="5385" max="5385" width="37.140625" style="1" customWidth="1"/>
    <col min="5386" max="5386" width="0" style="1" hidden="1" customWidth="1"/>
    <col min="5387" max="5387" width="58.7109375" style="1" customWidth="1"/>
    <col min="5388" max="5390" width="16.7109375" style="1" customWidth="1"/>
    <col min="5391" max="5391" width="53.28515625" style="1" customWidth="1"/>
    <col min="5392" max="5392" width="15.42578125" style="1" customWidth="1"/>
    <col min="5393" max="5637" width="8.7109375" style="1"/>
    <col min="5638" max="5638" width="13" style="1" customWidth="1"/>
    <col min="5639" max="5639" width="12.140625" style="1" customWidth="1"/>
    <col min="5640" max="5640" width="11.28515625" style="1" customWidth="1"/>
    <col min="5641" max="5641" width="37.140625" style="1" customWidth="1"/>
    <col min="5642" max="5642" width="0" style="1" hidden="1" customWidth="1"/>
    <col min="5643" max="5643" width="58.7109375" style="1" customWidth="1"/>
    <col min="5644" max="5646" width="16.7109375" style="1" customWidth="1"/>
    <col min="5647" max="5647" width="53.28515625" style="1" customWidth="1"/>
    <col min="5648" max="5648" width="15.42578125" style="1" customWidth="1"/>
    <col min="5649" max="5893" width="8.7109375" style="1"/>
    <col min="5894" max="5894" width="13" style="1" customWidth="1"/>
    <col min="5895" max="5895" width="12.140625" style="1" customWidth="1"/>
    <col min="5896" max="5896" width="11.28515625" style="1" customWidth="1"/>
    <col min="5897" max="5897" width="37.140625" style="1" customWidth="1"/>
    <col min="5898" max="5898" width="0" style="1" hidden="1" customWidth="1"/>
    <col min="5899" max="5899" width="58.7109375" style="1" customWidth="1"/>
    <col min="5900" max="5902" width="16.7109375" style="1" customWidth="1"/>
    <col min="5903" max="5903" width="53.28515625" style="1" customWidth="1"/>
    <col min="5904" max="5904" width="15.42578125" style="1" customWidth="1"/>
    <col min="5905" max="6149" width="8.7109375" style="1"/>
    <col min="6150" max="6150" width="13" style="1" customWidth="1"/>
    <col min="6151" max="6151" width="12.140625" style="1" customWidth="1"/>
    <col min="6152" max="6152" width="11.28515625" style="1" customWidth="1"/>
    <col min="6153" max="6153" width="37.140625" style="1" customWidth="1"/>
    <col min="6154" max="6154" width="0" style="1" hidden="1" customWidth="1"/>
    <col min="6155" max="6155" width="58.7109375" style="1" customWidth="1"/>
    <col min="6156" max="6158" width="16.7109375" style="1" customWidth="1"/>
    <col min="6159" max="6159" width="53.28515625" style="1" customWidth="1"/>
    <col min="6160" max="6160" width="15.42578125" style="1" customWidth="1"/>
    <col min="6161" max="6405" width="8.7109375" style="1"/>
    <col min="6406" max="6406" width="13" style="1" customWidth="1"/>
    <col min="6407" max="6407" width="12.140625" style="1" customWidth="1"/>
    <col min="6408" max="6408" width="11.28515625" style="1" customWidth="1"/>
    <col min="6409" max="6409" width="37.140625" style="1" customWidth="1"/>
    <col min="6410" max="6410" width="0" style="1" hidden="1" customWidth="1"/>
    <col min="6411" max="6411" width="58.7109375" style="1" customWidth="1"/>
    <col min="6412" max="6414" width="16.7109375" style="1" customWidth="1"/>
    <col min="6415" max="6415" width="53.28515625" style="1" customWidth="1"/>
    <col min="6416" max="6416" width="15.42578125" style="1" customWidth="1"/>
    <col min="6417" max="6661" width="8.7109375" style="1"/>
    <col min="6662" max="6662" width="13" style="1" customWidth="1"/>
    <col min="6663" max="6663" width="12.140625" style="1" customWidth="1"/>
    <col min="6664" max="6664" width="11.28515625" style="1" customWidth="1"/>
    <col min="6665" max="6665" width="37.140625" style="1" customWidth="1"/>
    <col min="6666" max="6666" width="0" style="1" hidden="1" customWidth="1"/>
    <col min="6667" max="6667" width="58.7109375" style="1" customWidth="1"/>
    <col min="6668" max="6670" width="16.7109375" style="1" customWidth="1"/>
    <col min="6671" max="6671" width="53.28515625" style="1" customWidth="1"/>
    <col min="6672" max="6672" width="15.42578125" style="1" customWidth="1"/>
    <col min="6673" max="6917" width="8.7109375" style="1"/>
    <col min="6918" max="6918" width="13" style="1" customWidth="1"/>
    <col min="6919" max="6919" width="12.140625" style="1" customWidth="1"/>
    <col min="6920" max="6920" width="11.28515625" style="1" customWidth="1"/>
    <col min="6921" max="6921" width="37.140625" style="1" customWidth="1"/>
    <col min="6922" max="6922" width="0" style="1" hidden="1" customWidth="1"/>
    <col min="6923" max="6923" width="58.7109375" style="1" customWidth="1"/>
    <col min="6924" max="6926" width="16.7109375" style="1" customWidth="1"/>
    <col min="6927" max="6927" width="53.28515625" style="1" customWidth="1"/>
    <col min="6928" max="6928" width="15.42578125" style="1" customWidth="1"/>
    <col min="6929" max="7173" width="8.7109375" style="1"/>
    <col min="7174" max="7174" width="13" style="1" customWidth="1"/>
    <col min="7175" max="7175" width="12.140625" style="1" customWidth="1"/>
    <col min="7176" max="7176" width="11.28515625" style="1" customWidth="1"/>
    <col min="7177" max="7177" width="37.140625" style="1" customWidth="1"/>
    <col min="7178" max="7178" width="0" style="1" hidden="1" customWidth="1"/>
    <col min="7179" max="7179" width="58.7109375" style="1" customWidth="1"/>
    <col min="7180" max="7182" width="16.7109375" style="1" customWidth="1"/>
    <col min="7183" max="7183" width="53.28515625" style="1" customWidth="1"/>
    <col min="7184" max="7184" width="15.42578125" style="1" customWidth="1"/>
    <col min="7185" max="7429" width="8.7109375" style="1"/>
    <col min="7430" max="7430" width="13" style="1" customWidth="1"/>
    <col min="7431" max="7431" width="12.140625" style="1" customWidth="1"/>
    <col min="7432" max="7432" width="11.28515625" style="1" customWidth="1"/>
    <col min="7433" max="7433" width="37.140625" style="1" customWidth="1"/>
    <col min="7434" max="7434" width="0" style="1" hidden="1" customWidth="1"/>
    <col min="7435" max="7435" width="58.7109375" style="1" customWidth="1"/>
    <col min="7436" max="7438" width="16.7109375" style="1" customWidth="1"/>
    <col min="7439" max="7439" width="53.28515625" style="1" customWidth="1"/>
    <col min="7440" max="7440" width="15.42578125" style="1" customWidth="1"/>
    <col min="7441" max="7685" width="8.7109375" style="1"/>
    <col min="7686" max="7686" width="13" style="1" customWidth="1"/>
    <col min="7687" max="7687" width="12.140625" style="1" customWidth="1"/>
    <col min="7688" max="7688" width="11.28515625" style="1" customWidth="1"/>
    <col min="7689" max="7689" width="37.140625" style="1" customWidth="1"/>
    <col min="7690" max="7690" width="0" style="1" hidden="1" customWidth="1"/>
    <col min="7691" max="7691" width="58.7109375" style="1" customWidth="1"/>
    <col min="7692" max="7694" width="16.7109375" style="1" customWidth="1"/>
    <col min="7695" max="7695" width="53.28515625" style="1" customWidth="1"/>
    <col min="7696" max="7696" width="15.42578125" style="1" customWidth="1"/>
    <col min="7697" max="7941" width="8.7109375" style="1"/>
    <col min="7942" max="7942" width="13" style="1" customWidth="1"/>
    <col min="7943" max="7943" width="12.140625" style="1" customWidth="1"/>
    <col min="7944" max="7944" width="11.28515625" style="1" customWidth="1"/>
    <col min="7945" max="7945" width="37.140625" style="1" customWidth="1"/>
    <col min="7946" max="7946" width="0" style="1" hidden="1" customWidth="1"/>
    <col min="7947" max="7947" width="58.7109375" style="1" customWidth="1"/>
    <col min="7948" max="7950" width="16.7109375" style="1" customWidth="1"/>
    <col min="7951" max="7951" width="53.28515625" style="1" customWidth="1"/>
    <col min="7952" max="7952" width="15.42578125" style="1" customWidth="1"/>
    <col min="7953" max="8197" width="8.7109375" style="1"/>
    <col min="8198" max="8198" width="13" style="1" customWidth="1"/>
    <col min="8199" max="8199" width="12.140625" style="1" customWidth="1"/>
    <col min="8200" max="8200" width="11.28515625" style="1" customWidth="1"/>
    <col min="8201" max="8201" width="37.140625" style="1" customWidth="1"/>
    <col min="8202" max="8202" width="0" style="1" hidden="1" customWidth="1"/>
    <col min="8203" max="8203" width="58.7109375" style="1" customWidth="1"/>
    <col min="8204" max="8206" width="16.7109375" style="1" customWidth="1"/>
    <col min="8207" max="8207" width="53.28515625" style="1" customWidth="1"/>
    <col min="8208" max="8208" width="15.42578125" style="1" customWidth="1"/>
    <col min="8209" max="8453" width="8.7109375" style="1"/>
    <col min="8454" max="8454" width="13" style="1" customWidth="1"/>
    <col min="8455" max="8455" width="12.140625" style="1" customWidth="1"/>
    <col min="8456" max="8456" width="11.28515625" style="1" customWidth="1"/>
    <col min="8457" max="8457" width="37.140625" style="1" customWidth="1"/>
    <col min="8458" max="8458" width="0" style="1" hidden="1" customWidth="1"/>
    <col min="8459" max="8459" width="58.7109375" style="1" customWidth="1"/>
    <col min="8460" max="8462" width="16.7109375" style="1" customWidth="1"/>
    <col min="8463" max="8463" width="53.28515625" style="1" customWidth="1"/>
    <col min="8464" max="8464" width="15.42578125" style="1" customWidth="1"/>
    <col min="8465" max="8709" width="8.7109375" style="1"/>
    <col min="8710" max="8710" width="13" style="1" customWidth="1"/>
    <col min="8711" max="8711" width="12.140625" style="1" customWidth="1"/>
    <col min="8712" max="8712" width="11.28515625" style="1" customWidth="1"/>
    <col min="8713" max="8713" width="37.140625" style="1" customWidth="1"/>
    <col min="8714" max="8714" width="0" style="1" hidden="1" customWidth="1"/>
    <col min="8715" max="8715" width="58.7109375" style="1" customWidth="1"/>
    <col min="8716" max="8718" width="16.7109375" style="1" customWidth="1"/>
    <col min="8719" max="8719" width="53.28515625" style="1" customWidth="1"/>
    <col min="8720" max="8720" width="15.42578125" style="1" customWidth="1"/>
    <col min="8721" max="8965" width="8.7109375" style="1"/>
    <col min="8966" max="8966" width="13" style="1" customWidth="1"/>
    <col min="8967" max="8967" width="12.140625" style="1" customWidth="1"/>
    <col min="8968" max="8968" width="11.28515625" style="1" customWidth="1"/>
    <col min="8969" max="8969" width="37.140625" style="1" customWidth="1"/>
    <col min="8970" max="8970" width="0" style="1" hidden="1" customWidth="1"/>
    <col min="8971" max="8971" width="58.7109375" style="1" customWidth="1"/>
    <col min="8972" max="8974" width="16.7109375" style="1" customWidth="1"/>
    <col min="8975" max="8975" width="53.28515625" style="1" customWidth="1"/>
    <col min="8976" max="8976" width="15.42578125" style="1" customWidth="1"/>
    <col min="8977" max="9221" width="8.7109375" style="1"/>
    <col min="9222" max="9222" width="13" style="1" customWidth="1"/>
    <col min="9223" max="9223" width="12.140625" style="1" customWidth="1"/>
    <col min="9224" max="9224" width="11.28515625" style="1" customWidth="1"/>
    <col min="9225" max="9225" width="37.140625" style="1" customWidth="1"/>
    <col min="9226" max="9226" width="0" style="1" hidden="1" customWidth="1"/>
    <col min="9227" max="9227" width="58.7109375" style="1" customWidth="1"/>
    <col min="9228" max="9230" width="16.7109375" style="1" customWidth="1"/>
    <col min="9231" max="9231" width="53.28515625" style="1" customWidth="1"/>
    <col min="9232" max="9232" width="15.42578125" style="1" customWidth="1"/>
    <col min="9233" max="9477" width="8.7109375" style="1"/>
    <col min="9478" max="9478" width="13" style="1" customWidth="1"/>
    <col min="9479" max="9479" width="12.140625" style="1" customWidth="1"/>
    <col min="9480" max="9480" width="11.28515625" style="1" customWidth="1"/>
    <col min="9481" max="9481" width="37.140625" style="1" customWidth="1"/>
    <col min="9482" max="9482" width="0" style="1" hidden="1" customWidth="1"/>
    <col min="9483" max="9483" width="58.7109375" style="1" customWidth="1"/>
    <col min="9484" max="9486" width="16.7109375" style="1" customWidth="1"/>
    <col min="9487" max="9487" width="53.28515625" style="1" customWidth="1"/>
    <col min="9488" max="9488" width="15.42578125" style="1" customWidth="1"/>
    <col min="9489" max="9733" width="8.7109375" style="1"/>
    <col min="9734" max="9734" width="13" style="1" customWidth="1"/>
    <col min="9735" max="9735" width="12.140625" style="1" customWidth="1"/>
    <col min="9736" max="9736" width="11.28515625" style="1" customWidth="1"/>
    <col min="9737" max="9737" width="37.140625" style="1" customWidth="1"/>
    <col min="9738" max="9738" width="0" style="1" hidden="1" customWidth="1"/>
    <col min="9739" max="9739" width="58.7109375" style="1" customWidth="1"/>
    <col min="9740" max="9742" width="16.7109375" style="1" customWidth="1"/>
    <col min="9743" max="9743" width="53.28515625" style="1" customWidth="1"/>
    <col min="9744" max="9744" width="15.42578125" style="1" customWidth="1"/>
    <col min="9745" max="9989" width="8.7109375" style="1"/>
    <col min="9990" max="9990" width="13" style="1" customWidth="1"/>
    <col min="9991" max="9991" width="12.140625" style="1" customWidth="1"/>
    <col min="9992" max="9992" width="11.28515625" style="1" customWidth="1"/>
    <col min="9993" max="9993" width="37.140625" style="1" customWidth="1"/>
    <col min="9994" max="9994" width="0" style="1" hidden="1" customWidth="1"/>
    <col min="9995" max="9995" width="58.7109375" style="1" customWidth="1"/>
    <col min="9996" max="9998" width="16.7109375" style="1" customWidth="1"/>
    <col min="9999" max="9999" width="53.28515625" style="1" customWidth="1"/>
    <col min="10000" max="10000" width="15.42578125" style="1" customWidth="1"/>
    <col min="10001" max="10245" width="8.7109375" style="1"/>
    <col min="10246" max="10246" width="13" style="1" customWidth="1"/>
    <col min="10247" max="10247" width="12.140625" style="1" customWidth="1"/>
    <col min="10248" max="10248" width="11.28515625" style="1" customWidth="1"/>
    <col min="10249" max="10249" width="37.140625" style="1" customWidth="1"/>
    <col min="10250" max="10250" width="0" style="1" hidden="1" customWidth="1"/>
    <col min="10251" max="10251" width="58.7109375" style="1" customWidth="1"/>
    <col min="10252" max="10254" width="16.7109375" style="1" customWidth="1"/>
    <col min="10255" max="10255" width="53.28515625" style="1" customWidth="1"/>
    <col min="10256" max="10256" width="15.42578125" style="1" customWidth="1"/>
    <col min="10257" max="10501" width="8.7109375" style="1"/>
    <col min="10502" max="10502" width="13" style="1" customWidth="1"/>
    <col min="10503" max="10503" width="12.140625" style="1" customWidth="1"/>
    <col min="10504" max="10504" width="11.28515625" style="1" customWidth="1"/>
    <col min="10505" max="10505" width="37.140625" style="1" customWidth="1"/>
    <col min="10506" max="10506" width="0" style="1" hidden="1" customWidth="1"/>
    <col min="10507" max="10507" width="58.7109375" style="1" customWidth="1"/>
    <col min="10508" max="10510" width="16.7109375" style="1" customWidth="1"/>
    <col min="10511" max="10511" width="53.28515625" style="1" customWidth="1"/>
    <col min="10512" max="10512" width="15.42578125" style="1" customWidth="1"/>
    <col min="10513" max="10757" width="8.7109375" style="1"/>
    <col min="10758" max="10758" width="13" style="1" customWidth="1"/>
    <col min="10759" max="10759" width="12.140625" style="1" customWidth="1"/>
    <col min="10760" max="10760" width="11.28515625" style="1" customWidth="1"/>
    <col min="10761" max="10761" width="37.140625" style="1" customWidth="1"/>
    <col min="10762" max="10762" width="0" style="1" hidden="1" customWidth="1"/>
    <col min="10763" max="10763" width="58.7109375" style="1" customWidth="1"/>
    <col min="10764" max="10766" width="16.7109375" style="1" customWidth="1"/>
    <col min="10767" max="10767" width="53.28515625" style="1" customWidth="1"/>
    <col min="10768" max="10768" width="15.42578125" style="1" customWidth="1"/>
    <col min="10769" max="11013" width="8.7109375" style="1"/>
    <col min="11014" max="11014" width="13" style="1" customWidth="1"/>
    <col min="11015" max="11015" width="12.140625" style="1" customWidth="1"/>
    <col min="11016" max="11016" width="11.28515625" style="1" customWidth="1"/>
    <col min="11017" max="11017" width="37.140625" style="1" customWidth="1"/>
    <col min="11018" max="11018" width="0" style="1" hidden="1" customWidth="1"/>
    <col min="11019" max="11019" width="58.7109375" style="1" customWidth="1"/>
    <col min="11020" max="11022" width="16.7109375" style="1" customWidth="1"/>
    <col min="11023" max="11023" width="53.28515625" style="1" customWidth="1"/>
    <col min="11024" max="11024" width="15.42578125" style="1" customWidth="1"/>
    <col min="11025" max="11269" width="8.7109375" style="1"/>
    <col min="11270" max="11270" width="13" style="1" customWidth="1"/>
    <col min="11271" max="11271" width="12.140625" style="1" customWidth="1"/>
    <col min="11272" max="11272" width="11.28515625" style="1" customWidth="1"/>
    <col min="11273" max="11273" width="37.140625" style="1" customWidth="1"/>
    <col min="11274" max="11274" width="0" style="1" hidden="1" customWidth="1"/>
    <col min="11275" max="11275" width="58.7109375" style="1" customWidth="1"/>
    <col min="11276" max="11278" width="16.7109375" style="1" customWidth="1"/>
    <col min="11279" max="11279" width="53.28515625" style="1" customWidth="1"/>
    <col min="11280" max="11280" width="15.42578125" style="1" customWidth="1"/>
    <col min="11281" max="11525" width="8.7109375" style="1"/>
    <col min="11526" max="11526" width="13" style="1" customWidth="1"/>
    <col min="11527" max="11527" width="12.140625" style="1" customWidth="1"/>
    <col min="11528" max="11528" width="11.28515625" style="1" customWidth="1"/>
    <col min="11529" max="11529" width="37.140625" style="1" customWidth="1"/>
    <col min="11530" max="11530" width="0" style="1" hidden="1" customWidth="1"/>
    <col min="11531" max="11531" width="58.7109375" style="1" customWidth="1"/>
    <col min="11532" max="11534" width="16.7109375" style="1" customWidth="1"/>
    <col min="11535" max="11535" width="53.28515625" style="1" customWidth="1"/>
    <col min="11536" max="11536" width="15.42578125" style="1" customWidth="1"/>
    <col min="11537" max="11781" width="8.7109375" style="1"/>
    <col min="11782" max="11782" width="13" style="1" customWidth="1"/>
    <col min="11783" max="11783" width="12.140625" style="1" customWidth="1"/>
    <col min="11784" max="11784" width="11.28515625" style="1" customWidth="1"/>
    <col min="11785" max="11785" width="37.140625" style="1" customWidth="1"/>
    <col min="11786" max="11786" width="0" style="1" hidden="1" customWidth="1"/>
    <col min="11787" max="11787" width="58.7109375" style="1" customWidth="1"/>
    <col min="11788" max="11790" width="16.7109375" style="1" customWidth="1"/>
    <col min="11791" max="11791" width="53.28515625" style="1" customWidth="1"/>
    <col min="11792" max="11792" width="15.42578125" style="1" customWidth="1"/>
    <col min="11793" max="12037" width="8.7109375" style="1"/>
    <col min="12038" max="12038" width="13" style="1" customWidth="1"/>
    <col min="12039" max="12039" width="12.140625" style="1" customWidth="1"/>
    <col min="12040" max="12040" width="11.28515625" style="1" customWidth="1"/>
    <col min="12041" max="12041" width="37.140625" style="1" customWidth="1"/>
    <col min="12042" max="12042" width="0" style="1" hidden="1" customWidth="1"/>
    <col min="12043" max="12043" width="58.7109375" style="1" customWidth="1"/>
    <col min="12044" max="12046" width="16.7109375" style="1" customWidth="1"/>
    <col min="12047" max="12047" width="53.28515625" style="1" customWidth="1"/>
    <col min="12048" max="12048" width="15.42578125" style="1" customWidth="1"/>
    <col min="12049" max="12293" width="8.7109375" style="1"/>
    <col min="12294" max="12294" width="13" style="1" customWidth="1"/>
    <col min="12295" max="12295" width="12.140625" style="1" customWidth="1"/>
    <col min="12296" max="12296" width="11.28515625" style="1" customWidth="1"/>
    <col min="12297" max="12297" width="37.140625" style="1" customWidth="1"/>
    <col min="12298" max="12298" width="0" style="1" hidden="1" customWidth="1"/>
    <col min="12299" max="12299" width="58.7109375" style="1" customWidth="1"/>
    <col min="12300" max="12302" width="16.7109375" style="1" customWidth="1"/>
    <col min="12303" max="12303" width="53.28515625" style="1" customWidth="1"/>
    <col min="12304" max="12304" width="15.42578125" style="1" customWidth="1"/>
    <col min="12305" max="12549" width="8.7109375" style="1"/>
    <col min="12550" max="12550" width="13" style="1" customWidth="1"/>
    <col min="12551" max="12551" width="12.140625" style="1" customWidth="1"/>
    <col min="12552" max="12552" width="11.28515625" style="1" customWidth="1"/>
    <col min="12553" max="12553" width="37.140625" style="1" customWidth="1"/>
    <col min="12554" max="12554" width="0" style="1" hidden="1" customWidth="1"/>
    <col min="12555" max="12555" width="58.7109375" style="1" customWidth="1"/>
    <col min="12556" max="12558" width="16.7109375" style="1" customWidth="1"/>
    <col min="12559" max="12559" width="53.28515625" style="1" customWidth="1"/>
    <col min="12560" max="12560" width="15.42578125" style="1" customWidth="1"/>
    <col min="12561" max="12805" width="8.7109375" style="1"/>
    <col min="12806" max="12806" width="13" style="1" customWidth="1"/>
    <col min="12807" max="12807" width="12.140625" style="1" customWidth="1"/>
    <col min="12808" max="12808" width="11.28515625" style="1" customWidth="1"/>
    <col min="12809" max="12809" width="37.140625" style="1" customWidth="1"/>
    <col min="12810" max="12810" width="0" style="1" hidden="1" customWidth="1"/>
    <col min="12811" max="12811" width="58.7109375" style="1" customWidth="1"/>
    <col min="12812" max="12814" width="16.7109375" style="1" customWidth="1"/>
    <col min="12815" max="12815" width="53.28515625" style="1" customWidth="1"/>
    <col min="12816" max="12816" width="15.42578125" style="1" customWidth="1"/>
    <col min="12817" max="13061" width="8.7109375" style="1"/>
    <col min="13062" max="13062" width="13" style="1" customWidth="1"/>
    <col min="13063" max="13063" width="12.140625" style="1" customWidth="1"/>
    <col min="13064" max="13064" width="11.28515625" style="1" customWidth="1"/>
    <col min="13065" max="13065" width="37.140625" style="1" customWidth="1"/>
    <col min="13066" max="13066" width="0" style="1" hidden="1" customWidth="1"/>
    <col min="13067" max="13067" width="58.7109375" style="1" customWidth="1"/>
    <col min="13068" max="13070" width="16.7109375" style="1" customWidth="1"/>
    <col min="13071" max="13071" width="53.28515625" style="1" customWidth="1"/>
    <col min="13072" max="13072" width="15.42578125" style="1" customWidth="1"/>
    <col min="13073" max="13317" width="8.7109375" style="1"/>
    <col min="13318" max="13318" width="13" style="1" customWidth="1"/>
    <col min="13319" max="13319" width="12.140625" style="1" customWidth="1"/>
    <col min="13320" max="13320" width="11.28515625" style="1" customWidth="1"/>
    <col min="13321" max="13321" width="37.140625" style="1" customWidth="1"/>
    <col min="13322" max="13322" width="0" style="1" hidden="1" customWidth="1"/>
    <col min="13323" max="13323" width="58.7109375" style="1" customWidth="1"/>
    <col min="13324" max="13326" width="16.7109375" style="1" customWidth="1"/>
    <col min="13327" max="13327" width="53.28515625" style="1" customWidth="1"/>
    <col min="13328" max="13328" width="15.42578125" style="1" customWidth="1"/>
    <col min="13329" max="13573" width="8.7109375" style="1"/>
    <col min="13574" max="13574" width="13" style="1" customWidth="1"/>
    <col min="13575" max="13575" width="12.140625" style="1" customWidth="1"/>
    <col min="13576" max="13576" width="11.28515625" style="1" customWidth="1"/>
    <col min="13577" max="13577" width="37.140625" style="1" customWidth="1"/>
    <col min="13578" max="13578" width="0" style="1" hidden="1" customWidth="1"/>
    <col min="13579" max="13579" width="58.7109375" style="1" customWidth="1"/>
    <col min="13580" max="13582" width="16.7109375" style="1" customWidth="1"/>
    <col min="13583" max="13583" width="53.28515625" style="1" customWidth="1"/>
    <col min="13584" max="13584" width="15.42578125" style="1" customWidth="1"/>
    <col min="13585" max="13829" width="8.7109375" style="1"/>
    <col min="13830" max="13830" width="13" style="1" customWidth="1"/>
    <col min="13831" max="13831" width="12.140625" style="1" customWidth="1"/>
    <col min="13832" max="13832" width="11.28515625" style="1" customWidth="1"/>
    <col min="13833" max="13833" width="37.140625" style="1" customWidth="1"/>
    <col min="13834" max="13834" width="0" style="1" hidden="1" customWidth="1"/>
    <col min="13835" max="13835" width="58.7109375" style="1" customWidth="1"/>
    <col min="13836" max="13838" width="16.7109375" style="1" customWidth="1"/>
    <col min="13839" max="13839" width="53.28515625" style="1" customWidth="1"/>
    <col min="13840" max="13840" width="15.42578125" style="1" customWidth="1"/>
    <col min="13841" max="14085" width="8.7109375" style="1"/>
    <col min="14086" max="14086" width="13" style="1" customWidth="1"/>
    <col min="14087" max="14087" width="12.140625" style="1" customWidth="1"/>
    <col min="14088" max="14088" width="11.28515625" style="1" customWidth="1"/>
    <col min="14089" max="14089" width="37.140625" style="1" customWidth="1"/>
    <col min="14090" max="14090" width="0" style="1" hidden="1" customWidth="1"/>
    <col min="14091" max="14091" width="58.7109375" style="1" customWidth="1"/>
    <col min="14092" max="14094" width="16.7109375" style="1" customWidth="1"/>
    <col min="14095" max="14095" width="53.28515625" style="1" customWidth="1"/>
    <col min="14096" max="14096" width="15.42578125" style="1" customWidth="1"/>
    <col min="14097" max="14341" width="8.7109375" style="1"/>
    <col min="14342" max="14342" width="13" style="1" customWidth="1"/>
    <col min="14343" max="14343" width="12.140625" style="1" customWidth="1"/>
    <col min="14344" max="14344" width="11.28515625" style="1" customWidth="1"/>
    <col min="14345" max="14345" width="37.140625" style="1" customWidth="1"/>
    <col min="14346" max="14346" width="0" style="1" hidden="1" customWidth="1"/>
    <col min="14347" max="14347" width="58.7109375" style="1" customWidth="1"/>
    <col min="14348" max="14350" width="16.7109375" style="1" customWidth="1"/>
    <col min="14351" max="14351" width="53.28515625" style="1" customWidth="1"/>
    <col min="14352" max="14352" width="15.42578125" style="1" customWidth="1"/>
    <col min="14353" max="14597" width="8.7109375" style="1"/>
    <col min="14598" max="14598" width="13" style="1" customWidth="1"/>
    <col min="14599" max="14599" width="12.140625" style="1" customWidth="1"/>
    <col min="14600" max="14600" width="11.28515625" style="1" customWidth="1"/>
    <col min="14601" max="14601" width="37.140625" style="1" customWidth="1"/>
    <col min="14602" max="14602" width="0" style="1" hidden="1" customWidth="1"/>
    <col min="14603" max="14603" width="58.7109375" style="1" customWidth="1"/>
    <col min="14604" max="14606" width="16.7109375" style="1" customWidth="1"/>
    <col min="14607" max="14607" width="53.28515625" style="1" customWidth="1"/>
    <col min="14608" max="14608" width="15.42578125" style="1" customWidth="1"/>
    <col min="14609" max="14853" width="8.7109375" style="1"/>
    <col min="14854" max="14854" width="13" style="1" customWidth="1"/>
    <col min="14855" max="14855" width="12.140625" style="1" customWidth="1"/>
    <col min="14856" max="14856" width="11.28515625" style="1" customWidth="1"/>
    <col min="14857" max="14857" width="37.140625" style="1" customWidth="1"/>
    <col min="14858" max="14858" width="0" style="1" hidden="1" customWidth="1"/>
    <col min="14859" max="14859" width="58.7109375" style="1" customWidth="1"/>
    <col min="14860" max="14862" width="16.7109375" style="1" customWidth="1"/>
    <col min="14863" max="14863" width="53.28515625" style="1" customWidth="1"/>
    <col min="14864" max="14864" width="15.42578125" style="1" customWidth="1"/>
    <col min="14865" max="15109" width="8.7109375" style="1"/>
    <col min="15110" max="15110" width="13" style="1" customWidth="1"/>
    <col min="15111" max="15111" width="12.140625" style="1" customWidth="1"/>
    <col min="15112" max="15112" width="11.28515625" style="1" customWidth="1"/>
    <col min="15113" max="15113" width="37.140625" style="1" customWidth="1"/>
    <col min="15114" max="15114" width="0" style="1" hidden="1" customWidth="1"/>
    <col min="15115" max="15115" width="58.7109375" style="1" customWidth="1"/>
    <col min="15116" max="15118" width="16.7109375" style="1" customWidth="1"/>
    <col min="15119" max="15119" width="53.28515625" style="1" customWidth="1"/>
    <col min="15120" max="15120" width="15.42578125" style="1" customWidth="1"/>
    <col min="15121" max="15365" width="8.7109375" style="1"/>
    <col min="15366" max="15366" width="13" style="1" customWidth="1"/>
    <col min="15367" max="15367" width="12.140625" style="1" customWidth="1"/>
    <col min="15368" max="15368" width="11.28515625" style="1" customWidth="1"/>
    <col min="15369" max="15369" width="37.140625" style="1" customWidth="1"/>
    <col min="15370" max="15370" width="0" style="1" hidden="1" customWidth="1"/>
    <col min="15371" max="15371" width="58.7109375" style="1" customWidth="1"/>
    <col min="15372" max="15374" width="16.7109375" style="1" customWidth="1"/>
    <col min="15375" max="15375" width="53.28515625" style="1" customWidth="1"/>
    <col min="15376" max="15376" width="15.42578125" style="1" customWidth="1"/>
    <col min="15377" max="15621" width="8.7109375" style="1"/>
    <col min="15622" max="15622" width="13" style="1" customWidth="1"/>
    <col min="15623" max="15623" width="12.140625" style="1" customWidth="1"/>
    <col min="15624" max="15624" width="11.28515625" style="1" customWidth="1"/>
    <col min="15625" max="15625" width="37.140625" style="1" customWidth="1"/>
    <col min="15626" max="15626" width="0" style="1" hidden="1" customWidth="1"/>
    <col min="15627" max="15627" width="58.7109375" style="1" customWidth="1"/>
    <col min="15628" max="15630" width="16.7109375" style="1" customWidth="1"/>
    <col min="15631" max="15631" width="53.28515625" style="1" customWidth="1"/>
    <col min="15632" max="15632" width="15.42578125" style="1" customWidth="1"/>
    <col min="15633" max="15877" width="8.7109375" style="1"/>
    <col min="15878" max="15878" width="13" style="1" customWidth="1"/>
    <col min="15879" max="15879" width="12.140625" style="1" customWidth="1"/>
    <col min="15880" max="15880" width="11.28515625" style="1" customWidth="1"/>
    <col min="15881" max="15881" width="37.140625" style="1" customWidth="1"/>
    <col min="15882" max="15882" width="0" style="1" hidden="1" customWidth="1"/>
    <col min="15883" max="15883" width="58.7109375" style="1" customWidth="1"/>
    <col min="15884" max="15886" width="16.7109375" style="1" customWidth="1"/>
    <col min="15887" max="15887" width="53.28515625" style="1" customWidth="1"/>
    <col min="15888" max="15888" width="15.42578125" style="1" customWidth="1"/>
    <col min="15889" max="16133" width="8.7109375" style="1"/>
    <col min="16134" max="16134" width="13" style="1" customWidth="1"/>
    <col min="16135" max="16135" width="12.140625" style="1" customWidth="1"/>
    <col min="16136" max="16136" width="11.28515625" style="1" customWidth="1"/>
    <col min="16137" max="16137" width="37.140625" style="1" customWidth="1"/>
    <col min="16138" max="16138" width="0" style="1" hidden="1" customWidth="1"/>
    <col min="16139" max="16139" width="58.7109375" style="1" customWidth="1"/>
    <col min="16140" max="16142" width="16.7109375" style="1" customWidth="1"/>
    <col min="16143" max="16143" width="53.28515625" style="1" customWidth="1"/>
    <col min="16144" max="16144" width="15.42578125" style="1" customWidth="1"/>
    <col min="16145" max="16384" width="8.7109375" style="1"/>
  </cols>
  <sheetData>
    <row r="1" spans="1:15" ht="10.5" customHeight="1" x14ac:dyDescent="0.3">
      <c r="A1" s="1"/>
      <c r="B1" s="2"/>
      <c r="C1" s="2"/>
      <c r="D1" s="1"/>
      <c r="E1" s="1"/>
      <c r="F1" s="1"/>
      <c r="G1" s="1"/>
      <c r="H1" s="1"/>
      <c r="I1" s="1"/>
      <c r="J1" s="1"/>
      <c r="K1" s="3"/>
      <c r="L1" s="3"/>
      <c r="M1" s="3"/>
      <c r="N1" s="3"/>
    </row>
    <row r="2" spans="1:15" ht="10.5" customHeight="1" x14ac:dyDescent="0.3">
      <c r="A2" s="1"/>
      <c r="B2" s="2"/>
      <c r="C2" s="2"/>
      <c r="D2" s="1"/>
      <c r="E2" s="1"/>
      <c r="F2" s="1"/>
      <c r="G2" s="1"/>
      <c r="H2" s="1"/>
      <c r="I2" s="1"/>
      <c r="J2" s="1"/>
      <c r="K2" s="478"/>
      <c r="L2" s="478"/>
      <c r="M2" s="478"/>
      <c r="N2" s="478"/>
    </row>
    <row r="3" spans="1:15" ht="10.5" customHeight="1" x14ac:dyDescent="0.2">
      <c r="A3" s="1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4" customFormat="1" ht="20.25" x14ac:dyDescent="0.25">
      <c r="B4" s="479" t="s">
        <v>375</v>
      </c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5" s="4" customFormat="1" ht="18.75" hidden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23.25" customHeight="1" x14ac:dyDescent="0.3">
      <c r="A6" s="1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3" t="s">
        <v>0</v>
      </c>
      <c r="N6" s="1"/>
    </row>
    <row r="7" spans="1:15" s="222" customFormat="1" ht="45" customHeight="1" x14ac:dyDescent="0.25">
      <c r="A7" s="481" t="s">
        <v>1</v>
      </c>
      <c r="B7" s="482" t="s">
        <v>2</v>
      </c>
      <c r="C7" s="482" t="s">
        <v>3</v>
      </c>
      <c r="D7" s="483" t="s">
        <v>4</v>
      </c>
      <c r="E7" s="483"/>
      <c r="F7" s="483" t="s">
        <v>283</v>
      </c>
      <c r="G7" s="484" t="s">
        <v>5</v>
      </c>
      <c r="H7" s="485"/>
      <c r="I7" s="486"/>
      <c r="J7" s="277"/>
      <c r="K7" s="484" t="s">
        <v>6</v>
      </c>
      <c r="L7" s="485"/>
      <c r="M7" s="485"/>
      <c r="N7" s="486"/>
    </row>
    <row r="8" spans="1:15" s="222" customFormat="1" ht="69" customHeight="1" x14ac:dyDescent="0.25">
      <c r="A8" s="481"/>
      <c r="B8" s="482"/>
      <c r="C8" s="482"/>
      <c r="D8" s="483"/>
      <c r="E8" s="483"/>
      <c r="F8" s="483"/>
      <c r="G8" s="223" t="s">
        <v>284</v>
      </c>
      <c r="H8" s="223" t="s">
        <v>285</v>
      </c>
      <c r="I8" s="223" t="s">
        <v>376</v>
      </c>
      <c r="J8" s="223" t="s">
        <v>286</v>
      </c>
      <c r="K8" s="223" t="s">
        <v>284</v>
      </c>
      <c r="L8" s="223" t="s">
        <v>285</v>
      </c>
      <c r="M8" s="223" t="s">
        <v>376</v>
      </c>
      <c r="N8" s="223" t="s">
        <v>286</v>
      </c>
    </row>
    <row r="9" spans="1:15" s="8" customFormat="1" ht="19.5" customHeight="1" x14ac:dyDescent="0.25">
      <c r="A9" s="7"/>
      <c r="B9" s="480" t="s">
        <v>7</v>
      </c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</row>
    <row r="10" spans="1:15" s="10" customFormat="1" ht="42" customHeight="1" x14ac:dyDescent="0.25">
      <c r="A10" s="161" t="s">
        <v>8</v>
      </c>
      <c r="B10" s="162"/>
      <c r="C10" s="162"/>
      <c r="D10" s="163" t="s">
        <v>9</v>
      </c>
      <c r="E10" s="164"/>
      <c r="F10" s="165"/>
      <c r="G10" s="255"/>
      <c r="H10" s="255"/>
      <c r="I10" s="255"/>
      <c r="J10" s="255"/>
      <c r="K10" s="256"/>
      <c r="L10" s="256"/>
      <c r="M10" s="256"/>
      <c r="N10" s="256"/>
    </row>
    <row r="11" spans="1:15" s="10" customFormat="1" ht="38.25" customHeight="1" x14ac:dyDescent="0.25">
      <c r="A11" s="193" t="s">
        <v>10</v>
      </c>
      <c r="B11" s="194"/>
      <c r="C11" s="194"/>
      <c r="D11" s="156" t="s">
        <v>9</v>
      </c>
      <c r="E11" s="195"/>
      <c r="F11" s="9"/>
      <c r="G11" s="257"/>
      <c r="H11" s="257"/>
      <c r="I11" s="257"/>
      <c r="J11" s="257"/>
      <c r="K11" s="258"/>
      <c r="L11" s="258"/>
      <c r="M11" s="258"/>
      <c r="N11" s="258"/>
    </row>
    <row r="12" spans="1:15" s="15" customFormat="1" ht="83.45" customHeight="1" x14ac:dyDescent="0.25">
      <c r="A12" s="11"/>
      <c r="B12" s="11"/>
      <c r="C12" s="11"/>
      <c r="D12" s="12"/>
      <c r="E12" s="12"/>
      <c r="F12" s="219" t="s">
        <v>11</v>
      </c>
      <c r="G12" s="259">
        <f>G13+G14</f>
        <v>120</v>
      </c>
      <c r="H12" s="259">
        <f>H13+H14</f>
        <v>48.4</v>
      </c>
      <c r="I12" s="259">
        <f t="shared" ref="I12" si="0">I13+I14</f>
        <v>44.50318</v>
      </c>
      <c r="J12" s="259">
        <f>I12/G12*100</f>
        <v>37.085983333333331</v>
      </c>
      <c r="K12" s="259">
        <f>K13+K14</f>
        <v>0</v>
      </c>
      <c r="L12" s="259">
        <f>L13+L14</f>
        <v>0</v>
      </c>
      <c r="M12" s="259">
        <f>M13+M14</f>
        <v>0</v>
      </c>
      <c r="N12" s="259"/>
      <c r="O12" s="14"/>
    </row>
    <row r="13" spans="1:15" s="19" customFormat="1" ht="84" customHeight="1" x14ac:dyDescent="0.25">
      <c r="A13" s="11" t="s">
        <v>12</v>
      </c>
      <c r="B13" s="11" t="s">
        <v>13</v>
      </c>
      <c r="C13" s="11" t="s">
        <v>14</v>
      </c>
      <c r="D13" s="16" t="s">
        <v>15</v>
      </c>
      <c r="E13" s="17"/>
      <c r="F13" s="18" t="s">
        <v>16</v>
      </c>
      <c r="G13" s="260">
        <v>10</v>
      </c>
      <c r="H13" s="260">
        <v>4.4000000000000004</v>
      </c>
      <c r="I13" s="260">
        <v>0.58818000000000004</v>
      </c>
      <c r="J13" s="260"/>
      <c r="K13" s="260"/>
      <c r="L13" s="260"/>
      <c r="M13" s="260"/>
      <c r="N13" s="260"/>
      <c r="O13" s="14"/>
    </row>
    <row r="14" spans="1:15" s="19" customFormat="1" ht="36" customHeight="1" x14ac:dyDescent="0.25">
      <c r="A14" s="11" t="s">
        <v>17</v>
      </c>
      <c r="B14" s="11" t="s">
        <v>18</v>
      </c>
      <c r="C14" s="11" t="s">
        <v>19</v>
      </c>
      <c r="D14" s="20" t="s">
        <v>20</v>
      </c>
      <c r="E14" s="17"/>
      <c r="F14" s="18"/>
      <c r="G14" s="260">
        <f>G15</f>
        <v>110</v>
      </c>
      <c r="H14" s="260">
        <f>H15</f>
        <v>44</v>
      </c>
      <c r="I14" s="260">
        <f t="shared" ref="I14" si="1">I15</f>
        <v>43.914999999999999</v>
      </c>
      <c r="J14" s="260"/>
      <c r="K14" s="260">
        <f>K15</f>
        <v>0</v>
      </c>
      <c r="L14" s="260"/>
      <c r="M14" s="260"/>
      <c r="N14" s="260"/>
      <c r="O14" s="14"/>
    </row>
    <row r="15" spans="1:15" s="19" customFormat="1" ht="102.75" customHeight="1" x14ac:dyDescent="0.25">
      <c r="A15" s="21" t="s">
        <v>21</v>
      </c>
      <c r="B15" s="21" t="s">
        <v>22</v>
      </c>
      <c r="C15" s="21" t="s">
        <v>19</v>
      </c>
      <c r="D15" s="16" t="s">
        <v>23</v>
      </c>
      <c r="E15" s="17"/>
      <c r="F15" s="17" t="s">
        <v>24</v>
      </c>
      <c r="G15" s="260">
        <v>110</v>
      </c>
      <c r="H15" s="260">
        <v>44</v>
      </c>
      <c r="I15" s="260">
        <v>43.914999999999999</v>
      </c>
      <c r="J15" s="260"/>
      <c r="K15" s="260"/>
      <c r="L15" s="260"/>
      <c r="M15" s="260"/>
      <c r="N15" s="260"/>
      <c r="O15" s="14"/>
    </row>
    <row r="16" spans="1:15" s="19" customFormat="1" ht="24" customHeight="1" x14ac:dyDescent="0.25">
      <c r="A16" s="11" t="s">
        <v>25</v>
      </c>
      <c r="B16" s="11" t="s">
        <v>26</v>
      </c>
      <c r="C16" s="11" t="s">
        <v>13</v>
      </c>
      <c r="D16" s="17" t="s">
        <v>27</v>
      </c>
      <c r="E16" s="17"/>
      <c r="F16" s="220"/>
      <c r="G16" s="259">
        <f>G17+G22</f>
        <v>149.6</v>
      </c>
      <c r="H16" s="259">
        <f t="shared" ref="H16:I16" si="2">H17+H22</f>
        <v>89.800000000000011</v>
      </c>
      <c r="I16" s="259">
        <f t="shared" si="2"/>
        <v>35</v>
      </c>
      <c r="J16" s="259">
        <f>I16/G16*100</f>
        <v>23.395721925133692</v>
      </c>
      <c r="K16" s="259">
        <f>K17+K22</f>
        <v>0</v>
      </c>
      <c r="L16" s="259">
        <f>L17+L22</f>
        <v>0</v>
      </c>
      <c r="M16" s="259">
        <f>M17+M22</f>
        <v>0</v>
      </c>
      <c r="N16" s="259"/>
      <c r="O16" s="14"/>
    </row>
    <row r="17" spans="1:22" s="19" customFormat="1" ht="85.5" customHeight="1" x14ac:dyDescent="0.25">
      <c r="A17" s="154" t="s">
        <v>28</v>
      </c>
      <c r="B17" s="21" t="s">
        <v>29</v>
      </c>
      <c r="C17" s="21" t="s">
        <v>30</v>
      </c>
      <c r="D17" s="17" t="s">
        <v>27</v>
      </c>
      <c r="E17" s="17"/>
      <c r="F17" s="22" t="s">
        <v>31</v>
      </c>
      <c r="G17" s="261">
        <f>G18+G19+G20+G21</f>
        <v>134.6</v>
      </c>
      <c r="H17" s="261">
        <f>H18+H19+H20+H21</f>
        <v>80.800000000000011</v>
      </c>
      <c r="I17" s="261">
        <f>I18+I19+I20+I21</f>
        <v>26.200000000000003</v>
      </c>
      <c r="J17" s="261"/>
      <c r="K17" s="261">
        <v>0</v>
      </c>
      <c r="L17" s="261"/>
      <c r="M17" s="261"/>
      <c r="N17" s="261"/>
      <c r="O17" s="14"/>
    </row>
    <row r="18" spans="1:22" s="19" customFormat="1" ht="27.75" customHeight="1" x14ac:dyDescent="0.25">
      <c r="A18" s="154"/>
      <c r="B18" s="21"/>
      <c r="C18" s="21"/>
      <c r="D18" s="17"/>
      <c r="E18" s="17"/>
      <c r="F18" s="17" t="s">
        <v>296</v>
      </c>
      <c r="G18" s="261">
        <v>20.8</v>
      </c>
      <c r="H18" s="261">
        <v>15</v>
      </c>
      <c r="I18" s="261">
        <v>7.6</v>
      </c>
      <c r="J18" s="261"/>
      <c r="K18" s="261"/>
      <c r="L18" s="261"/>
      <c r="M18" s="261"/>
      <c r="N18" s="261"/>
      <c r="O18" s="14"/>
    </row>
    <row r="19" spans="1:22" s="19" customFormat="1" ht="36" customHeight="1" x14ac:dyDescent="0.25">
      <c r="A19" s="154"/>
      <c r="B19" s="21"/>
      <c r="C19" s="21"/>
      <c r="D19" s="17"/>
      <c r="E19" s="17"/>
      <c r="F19" s="17" t="s">
        <v>297</v>
      </c>
      <c r="G19" s="261">
        <v>24.2</v>
      </c>
      <c r="H19" s="261">
        <v>24.2</v>
      </c>
      <c r="I19" s="261">
        <v>2</v>
      </c>
      <c r="J19" s="261"/>
      <c r="K19" s="261"/>
      <c r="L19" s="261"/>
      <c r="M19" s="261"/>
      <c r="N19" s="261"/>
      <c r="O19" s="14"/>
    </row>
    <row r="20" spans="1:22" s="19" customFormat="1" ht="25.5" customHeight="1" x14ac:dyDescent="0.25">
      <c r="A20" s="154"/>
      <c r="B20" s="21"/>
      <c r="C20" s="21"/>
      <c r="D20" s="17"/>
      <c r="E20" s="17"/>
      <c r="F20" s="17" t="s">
        <v>298</v>
      </c>
      <c r="G20" s="261">
        <v>15</v>
      </c>
      <c r="H20" s="261">
        <v>0</v>
      </c>
      <c r="I20" s="261">
        <v>0</v>
      </c>
      <c r="J20" s="261"/>
      <c r="K20" s="261"/>
      <c r="L20" s="261"/>
      <c r="M20" s="261"/>
      <c r="N20" s="261"/>
      <c r="O20" s="14"/>
    </row>
    <row r="21" spans="1:22" s="19" customFormat="1" ht="28.5" customHeight="1" x14ac:dyDescent="0.25">
      <c r="A21" s="154"/>
      <c r="B21" s="21"/>
      <c r="C21" s="21"/>
      <c r="D21" s="17"/>
      <c r="E21" s="17"/>
      <c r="F21" s="17" t="s">
        <v>299</v>
      </c>
      <c r="G21" s="260">
        <v>74.599999999999994</v>
      </c>
      <c r="H21" s="260">
        <v>41.6</v>
      </c>
      <c r="I21" s="260">
        <v>16.600000000000001</v>
      </c>
      <c r="J21" s="261"/>
      <c r="K21" s="261"/>
      <c r="L21" s="261"/>
      <c r="M21" s="261"/>
      <c r="N21" s="261"/>
      <c r="O21" s="14"/>
    </row>
    <row r="22" spans="1:22" s="19" customFormat="1" ht="89.25" customHeight="1" x14ac:dyDescent="0.25">
      <c r="A22" s="11" t="s">
        <v>32</v>
      </c>
      <c r="B22" s="21" t="s">
        <v>33</v>
      </c>
      <c r="C22" s="21" t="s">
        <v>30</v>
      </c>
      <c r="D22" s="17" t="s">
        <v>27</v>
      </c>
      <c r="E22" s="17"/>
      <c r="F22" s="23" t="s">
        <v>34</v>
      </c>
      <c r="G22" s="261">
        <f>5+10</f>
        <v>15</v>
      </c>
      <c r="H22" s="261">
        <v>9</v>
      </c>
      <c r="I22" s="261">
        <v>8.8000000000000007</v>
      </c>
      <c r="J22" s="261">
        <f>I22/G22*100</f>
        <v>58.666666666666664</v>
      </c>
      <c r="K22" s="261">
        <v>0</v>
      </c>
      <c r="L22" s="261"/>
      <c r="M22" s="261"/>
      <c r="N22" s="261"/>
      <c r="O22" s="14"/>
    </row>
    <row r="23" spans="1:22" s="19" customFormat="1" ht="7.5" hidden="1" customHeight="1" x14ac:dyDescent="0.25">
      <c r="A23" s="24"/>
      <c r="B23" s="24"/>
      <c r="C23" s="24"/>
      <c r="D23" s="25"/>
      <c r="E23" s="25"/>
      <c r="F23" s="26"/>
      <c r="G23" s="260"/>
      <c r="H23" s="260"/>
      <c r="I23" s="260"/>
      <c r="J23" s="260"/>
      <c r="K23" s="260"/>
      <c r="L23" s="260"/>
      <c r="M23" s="260"/>
      <c r="N23" s="260"/>
      <c r="O23" s="27"/>
    </row>
    <row r="24" spans="1:22" s="19" customFormat="1" ht="87.75" customHeight="1" x14ac:dyDescent="0.25">
      <c r="A24" s="21" t="s">
        <v>35</v>
      </c>
      <c r="B24" s="21" t="s">
        <v>36</v>
      </c>
      <c r="C24" s="21" t="s">
        <v>37</v>
      </c>
      <c r="D24" s="16" t="s">
        <v>197</v>
      </c>
      <c r="E24" s="28"/>
      <c r="F24" s="20" t="s">
        <v>38</v>
      </c>
      <c r="G24" s="260"/>
      <c r="H24" s="260"/>
      <c r="I24" s="260"/>
      <c r="J24" s="260"/>
      <c r="K24" s="261">
        <v>112</v>
      </c>
      <c r="L24" s="261">
        <f>24+88</f>
        <v>112</v>
      </c>
      <c r="M24" s="261">
        <v>0</v>
      </c>
      <c r="N24" s="261">
        <f>M24/K24*100</f>
        <v>0</v>
      </c>
      <c r="O24" s="27"/>
    </row>
    <row r="25" spans="1:22" s="32" customFormat="1" ht="21" customHeight="1" x14ac:dyDescent="0.25">
      <c r="A25" s="29"/>
      <c r="B25" s="30"/>
      <c r="C25" s="30"/>
      <c r="D25" s="197" t="s">
        <v>39</v>
      </c>
      <c r="E25" s="197"/>
      <c r="F25" s="198"/>
      <c r="G25" s="262">
        <f>G16+G12+G24</f>
        <v>269.60000000000002</v>
      </c>
      <c r="H25" s="262">
        <f>H16+H12+H24</f>
        <v>138.20000000000002</v>
      </c>
      <c r="I25" s="262">
        <f>I16+I12+I24</f>
        <v>79.50318</v>
      </c>
      <c r="J25" s="262">
        <f>I25/G25*100</f>
        <v>29.489310089020769</v>
      </c>
      <c r="K25" s="262">
        <f>K16+K12+K24</f>
        <v>112</v>
      </c>
      <c r="L25" s="262">
        <f>L16+L12+L24</f>
        <v>112</v>
      </c>
      <c r="M25" s="262">
        <f>M16+M12+M24</f>
        <v>0</v>
      </c>
      <c r="N25" s="259">
        <f>M25/K25*100</f>
        <v>0</v>
      </c>
      <c r="O25" s="31"/>
    </row>
    <row r="26" spans="1:22" s="37" customFormat="1" ht="39.75" customHeight="1" x14ac:dyDescent="0.2">
      <c r="A26" s="166" t="s">
        <v>40</v>
      </c>
      <c r="B26" s="167"/>
      <c r="C26" s="167"/>
      <c r="D26" s="163" t="s">
        <v>41</v>
      </c>
      <c r="E26" s="168"/>
      <c r="F26" s="168"/>
      <c r="G26" s="263"/>
      <c r="H26" s="263"/>
      <c r="I26" s="263"/>
      <c r="J26" s="263"/>
      <c r="K26" s="263"/>
      <c r="L26" s="263"/>
      <c r="M26" s="263"/>
      <c r="N26" s="263"/>
      <c r="O26" s="36"/>
      <c r="P26" s="36"/>
      <c r="Q26" s="36"/>
      <c r="R26" s="36"/>
      <c r="S26" s="36"/>
      <c r="T26" s="36"/>
      <c r="U26" s="36"/>
      <c r="V26" s="36">
        <f>E26+O26</f>
        <v>0</v>
      </c>
    </row>
    <row r="27" spans="1:22" s="39" customFormat="1" ht="46.5" customHeight="1" x14ac:dyDescent="0.2">
      <c r="A27" s="33" t="s">
        <v>42</v>
      </c>
      <c r="B27" s="34"/>
      <c r="C27" s="34"/>
      <c r="D27" s="156" t="s">
        <v>41</v>
      </c>
      <c r="E27" s="35"/>
      <c r="F27" s="35"/>
      <c r="G27" s="264"/>
      <c r="H27" s="264"/>
      <c r="I27" s="264"/>
      <c r="J27" s="264"/>
      <c r="K27" s="264"/>
      <c r="L27" s="264"/>
      <c r="M27" s="264"/>
      <c r="N27" s="264"/>
      <c r="O27" s="38"/>
      <c r="P27" s="38"/>
      <c r="Q27" s="38"/>
      <c r="R27" s="38"/>
      <c r="S27" s="38"/>
      <c r="T27" s="38"/>
      <c r="U27" s="38"/>
      <c r="V27" s="38"/>
    </row>
    <row r="28" spans="1:22" s="39" customFormat="1" ht="30" customHeight="1" x14ac:dyDescent="0.2">
      <c r="A28" s="33" t="s">
        <v>43</v>
      </c>
      <c r="B28" s="34" t="s">
        <v>44</v>
      </c>
      <c r="C28" s="34" t="s">
        <v>45</v>
      </c>
      <c r="D28" s="68" t="s">
        <v>46</v>
      </c>
      <c r="E28" s="35"/>
      <c r="F28" s="206" t="s">
        <v>39</v>
      </c>
      <c r="G28" s="262">
        <f>G30+G29</f>
        <v>209.5</v>
      </c>
      <c r="H28" s="262">
        <f>H30+H29</f>
        <v>54</v>
      </c>
      <c r="I28" s="262">
        <f>I30+I29</f>
        <v>32.700000000000003</v>
      </c>
      <c r="J28" s="262">
        <f>I28/G28*100</f>
        <v>15.608591885441529</v>
      </c>
      <c r="K28" s="262">
        <f>K30</f>
        <v>0</v>
      </c>
      <c r="L28" s="262"/>
      <c r="M28" s="262"/>
      <c r="N28" s="262"/>
      <c r="O28" s="38"/>
      <c r="P28" s="38"/>
      <c r="Q28" s="38"/>
      <c r="R28" s="38"/>
      <c r="S28" s="38"/>
      <c r="T28" s="38"/>
      <c r="U28" s="38"/>
      <c r="V28" s="38"/>
    </row>
    <row r="29" spans="1:22" s="39" customFormat="1" ht="80.25" customHeight="1" x14ac:dyDescent="0.2">
      <c r="A29" s="33"/>
      <c r="B29" s="34" t="s">
        <v>98</v>
      </c>
      <c r="C29" s="34"/>
      <c r="D29" s="45" t="s">
        <v>100</v>
      </c>
      <c r="E29" s="35"/>
      <c r="F29" s="254" t="s">
        <v>371</v>
      </c>
      <c r="G29" s="264">
        <v>37.5</v>
      </c>
      <c r="H29" s="264">
        <v>0</v>
      </c>
      <c r="I29" s="264">
        <v>0</v>
      </c>
      <c r="J29" s="264">
        <f t="shared" ref="J29:J30" si="3">I29/G29*100</f>
        <v>0</v>
      </c>
      <c r="K29" s="264"/>
      <c r="L29" s="264"/>
      <c r="M29" s="264"/>
      <c r="N29" s="264"/>
      <c r="O29" s="38"/>
      <c r="P29" s="38"/>
      <c r="Q29" s="38"/>
      <c r="R29" s="38"/>
      <c r="S29" s="38"/>
      <c r="T29" s="38"/>
      <c r="U29" s="38"/>
      <c r="V29" s="38"/>
    </row>
    <row r="30" spans="1:22" s="15" customFormat="1" ht="55.5" customHeight="1" x14ac:dyDescent="0.25">
      <c r="A30" s="29"/>
      <c r="B30" s="21" t="s">
        <v>47</v>
      </c>
      <c r="C30" s="21" t="s">
        <v>45</v>
      </c>
      <c r="D30" s="40" t="s">
        <v>46</v>
      </c>
      <c r="E30" s="41"/>
      <c r="F30" s="13" t="s">
        <v>48</v>
      </c>
      <c r="G30" s="261">
        <f>G31+G32+G33+G34+G35</f>
        <v>172</v>
      </c>
      <c r="H30" s="261">
        <v>54</v>
      </c>
      <c r="I30" s="261">
        <v>32.700000000000003</v>
      </c>
      <c r="J30" s="264">
        <f t="shared" si="3"/>
        <v>19.011627906976749</v>
      </c>
      <c r="K30" s="261">
        <f>K31+K32+K34+K35</f>
        <v>0</v>
      </c>
      <c r="L30" s="261"/>
      <c r="M30" s="261"/>
      <c r="N30" s="261"/>
      <c r="O30" s="14"/>
    </row>
    <row r="31" spans="1:22" s="15" customFormat="1" ht="27.75" customHeight="1" x14ac:dyDescent="0.25">
      <c r="A31" s="42"/>
      <c r="B31" s="21"/>
      <c r="C31" s="21"/>
      <c r="D31" s="43"/>
      <c r="E31" s="41"/>
      <c r="F31" s="43" t="s">
        <v>287</v>
      </c>
      <c r="G31" s="260">
        <v>30</v>
      </c>
      <c r="H31" s="260">
        <v>10</v>
      </c>
      <c r="I31" s="260">
        <v>9.5</v>
      </c>
      <c r="J31" s="260"/>
      <c r="K31" s="260"/>
      <c r="L31" s="260"/>
      <c r="M31" s="260"/>
      <c r="N31" s="260"/>
      <c r="O31" s="14"/>
    </row>
    <row r="32" spans="1:22" s="46" customFormat="1" ht="69.75" customHeight="1" x14ac:dyDescent="0.25">
      <c r="A32" s="24"/>
      <c r="B32" s="24"/>
      <c r="C32" s="24"/>
      <c r="D32" s="44"/>
      <c r="E32" s="44"/>
      <c r="F32" s="45" t="s">
        <v>49</v>
      </c>
      <c r="G32" s="260">
        <v>72</v>
      </c>
      <c r="H32" s="260">
        <v>24</v>
      </c>
      <c r="I32" s="260">
        <v>17</v>
      </c>
      <c r="J32" s="260"/>
      <c r="K32" s="260"/>
      <c r="L32" s="260"/>
      <c r="M32" s="260"/>
      <c r="N32" s="260"/>
      <c r="O32" s="27"/>
    </row>
    <row r="33" spans="1:15" s="46" customFormat="1" ht="20.25" customHeight="1" x14ac:dyDescent="0.25">
      <c r="A33" s="24"/>
      <c r="B33" s="24"/>
      <c r="C33" s="24"/>
      <c r="D33" s="44"/>
      <c r="E33" s="44"/>
      <c r="F33" s="45" t="s">
        <v>288</v>
      </c>
      <c r="G33" s="260">
        <v>15</v>
      </c>
      <c r="H33" s="260"/>
      <c r="I33" s="260"/>
      <c r="J33" s="260"/>
      <c r="K33" s="260"/>
      <c r="L33" s="260"/>
      <c r="M33" s="260"/>
      <c r="N33" s="260"/>
      <c r="O33" s="27"/>
    </row>
    <row r="34" spans="1:15" s="15" customFormat="1" ht="35.25" customHeight="1" x14ac:dyDescent="0.25">
      <c r="A34" s="29"/>
      <c r="B34" s="30"/>
      <c r="C34" s="30"/>
      <c r="D34" s="47"/>
      <c r="E34" s="47"/>
      <c r="F34" s="43" t="s">
        <v>289</v>
      </c>
      <c r="G34" s="260">
        <v>35</v>
      </c>
      <c r="H34" s="260">
        <v>15</v>
      </c>
      <c r="I34" s="260">
        <v>1.2</v>
      </c>
      <c r="J34" s="260"/>
      <c r="K34" s="261"/>
      <c r="L34" s="261"/>
      <c r="M34" s="261"/>
      <c r="N34" s="261"/>
      <c r="O34" s="14"/>
    </row>
    <row r="35" spans="1:15" s="15" customFormat="1" ht="20.25" customHeight="1" x14ac:dyDescent="0.25">
      <c r="A35" s="48"/>
      <c r="B35" s="49"/>
      <c r="C35" s="49"/>
      <c r="D35" s="47"/>
      <c r="E35" s="47"/>
      <c r="F35" s="43" t="s">
        <v>325</v>
      </c>
      <c r="G35" s="260">
        <v>20</v>
      </c>
      <c r="H35" s="260">
        <v>5</v>
      </c>
      <c r="I35" s="260">
        <v>5</v>
      </c>
      <c r="J35" s="260"/>
      <c r="K35" s="261"/>
      <c r="L35" s="261"/>
      <c r="M35" s="261"/>
      <c r="N35" s="261"/>
      <c r="O35" s="14"/>
    </row>
    <row r="36" spans="1:15" s="51" customFormat="1" ht="58.5" customHeight="1" x14ac:dyDescent="0.25">
      <c r="A36" s="169">
        <v>1100000</v>
      </c>
      <c r="B36" s="170"/>
      <c r="C36" s="170"/>
      <c r="D36" s="171" t="s">
        <v>51</v>
      </c>
      <c r="E36" s="172"/>
      <c r="F36" s="173"/>
      <c r="G36" s="265"/>
      <c r="H36" s="265"/>
      <c r="I36" s="265"/>
      <c r="J36" s="265"/>
      <c r="K36" s="266"/>
      <c r="L36" s="266"/>
      <c r="M36" s="266"/>
      <c r="N36" s="266"/>
      <c r="O36" s="14"/>
    </row>
    <row r="37" spans="1:15" s="53" customFormat="1" ht="60.75" customHeight="1" x14ac:dyDescent="0.25">
      <c r="A37" s="169">
        <v>1110000</v>
      </c>
      <c r="B37" s="170"/>
      <c r="C37" s="170"/>
      <c r="D37" s="174" t="s">
        <v>51</v>
      </c>
      <c r="E37" s="172"/>
      <c r="F37" s="173"/>
      <c r="G37" s="265"/>
      <c r="H37" s="265"/>
      <c r="I37" s="265"/>
      <c r="J37" s="265"/>
      <c r="K37" s="266"/>
      <c r="L37" s="266"/>
      <c r="M37" s="266"/>
      <c r="N37" s="266"/>
      <c r="O37" s="52"/>
    </row>
    <row r="38" spans="1:15" s="51" customFormat="1" ht="53.25" customHeight="1" x14ac:dyDescent="0.25">
      <c r="A38" s="48">
        <v>1113132</v>
      </c>
      <c r="B38" s="21" t="s">
        <v>52</v>
      </c>
      <c r="C38" s="21" t="s">
        <v>53</v>
      </c>
      <c r="D38" s="28" t="s">
        <v>54</v>
      </c>
      <c r="E38" s="54"/>
      <c r="F38" s="13" t="s">
        <v>55</v>
      </c>
      <c r="G38" s="261">
        <f>G39</f>
        <v>10</v>
      </c>
      <c r="H38" s="261">
        <f>H39</f>
        <v>4.2</v>
      </c>
      <c r="I38" s="261">
        <f>I39</f>
        <v>1.5</v>
      </c>
      <c r="J38" s="261">
        <f>I38/G38*100</f>
        <v>15</v>
      </c>
      <c r="K38" s="261">
        <f>K39</f>
        <v>0</v>
      </c>
      <c r="L38" s="261"/>
      <c r="M38" s="261"/>
      <c r="N38" s="261"/>
      <c r="O38" s="14"/>
    </row>
    <row r="39" spans="1:15" s="51" customFormat="1" ht="37.5" customHeight="1" x14ac:dyDescent="0.25">
      <c r="A39" s="42"/>
      <c r="B39" s="21"/>
      <c r="C39" s="21"/>
      <c r="D39" s="43"/>
      <c r="E39" s="54"/>
      <c r="F39" s="43" t="s">
        <v>56</v>
      </c>
      <c r="G39" s="260">
        <v>10</v>
      </c>
      <c r="H39" s="260">
        <v>4.2</v>
      </c>
      <c r="I39" s="260">
        <v>1.5</v>
      </c>
      <c r="J39" s="260"/>
      <c r="K39" s="260"/>
      <c r="L39" s="260"/>
      <c r="M39" s="260"/>
      <c r="N39" s="260"/>
      <c r="O39" s="14"/>
    </row>
    <row r="40" spans="1:15" s="56" customFormat="1" ht="24.75" customHeight="1" x14ac:dyDescent="0.25">
      <c r="A40" s="24"/>
      <c r="B40" s="24"/>
      <c r="C40" s="24"/>
      <c r="D40" s="197" t="s">
        <v>50</v>
      </c>
      <c r="E40" s="199"/>
      <c r="F40" s="200"/>
      <c r="G40" s="262">
        <f>G38</f>
        <v>10</v>
      </c>
      <c r="H40" s="262">
        <f>H38</f>
        <v>4.2</v>
      </c>
      <c r="I40" s="262">
        <f t="shared" ref="I40:J40" si="4">I38</f>
        <v>1.5</v>
      </c>
      <c r="J40" s="262">
        <f t="shared" si="4"/>
        <v>15</v>
      </c>
      <c r="K40" s="262">
        <f>K38</f>
        <v>0</v>
      </c>
      <c r="L40" s="262"/>
      <c r="M40" s="262"/>
      <c r="N40" s="262"/>
      <c r="O40" s="55"/>
    </row>
    <row r="41" spans="1:15" s="19" customFormat="1" ht="78" customHeight="1" x14ac:dyDescent="0.25">
      <c r="A41" s="176" t="s">
        <v>57</v>
      </c>
      <c r="B41" s="177"/>
      <c r="C41" s="177"/>
      <c r="D41" s="163" t="s">
        <v>58</v>
      </c>
      <c r="E41" s="178"/>
      <c r="F41" s="179"/>
      <c r="G41" s="267"/>
      <c r="H41" s="267"/>
      <c r="I41" s="267"/>
      <c r="J41" s="267"/>
      <c r="K41" s="267"/>
      <c r="L41" s="267"/>
      <c r="M41" s="267"/>
      <c r="N41" s="267"/>
      <c r="O41" s="27"/>
    </row>
    <row r="42" spans="1:15" s="19" customFormat="1" ht="84.75" customHeight="1" x14ac:dyDescent="0.25">
      <c r="A42" s="176" t="s">
        <v>59</v>
      </c>
      <c r="B42" s="177"/>
      <c r="C42" s="177"/>
      <c r="D42" s="175" t="s">
        <v>58</v>
      </c>
      <c r="E42" s="178"/>
      <c r="F42" s="179"/>
      <c r="G42" s="267"/>
      <c r="H42" s="267"/>
      <c r="I42" s="267"/>
      <c r="J42" s="267"/>
      <c r="K42" s="267"/>
      <c r="L42" s="267"/>
      <c r="M42" s="267"/>
      <c r="N42" s="267"/>
      <c r="O42" s="27"/>
    </row>
    <row r="43" spans="1:15" s="19" customFormat="1" ht="42" customHeight="1" x14ac:dyDescent="0.25">
      <c r="A43" s="49" t="s">
        <v>60</v>
      </c>
      <c r="B43" s="24" t="s">
        <v>61</v>
      </c>
      <c r="C43" s="24"/>
      <c r="D43" s="155" t="s">
        <v>62</v>
      </c>
      <c r="E43" s="57"/>
      <c r="F43" s="58"/>
      <c r="G43" s="261">
        <f>G44+G45+G49+G50+G51</f>
        <v>554.9</v>
      </c>
      <c r="H43" s="261">
        <f>H44+H45+H49+H50+H51</f>
        <v>432.8</v>
      </c>
      <c r="I43" s="261">
        <f>I44+I45+I49+I50+I51</f>
        <v>208.9</v>
      </c>
      <c r="J43" s="261">
        <f>I43/G43*100</f>
        <v>37.646422778879078</v>
      </c>
      <c r="K43" s="261">
        <f>K44+K45+K49+K50+K51</f>
        <v>0</v>
      </c>
      <c r="L43" s="261"/>
      <c r="M43" s="261"/>
      <c r="N43" s="261"/>
      <c r="O43" s="27"/>
    </row>
    <row r="44" spans="1:15" s="19" customFormat="1" ht="83.25" customHeight="1" x14ac:dyDescent="0.25">
      <c r="A44" s="21" t="s">
        <v>63</v>
      </c>
      <c r="B44" s="21" t="s">
        <v>64</v>
      </c>
      <c r="C44" s="21" t="s">
        <v>65</v>
      </c>
      <c r="D44" s="16" t="s">
        <v>66</v>
      </c>
      <c r="E44" s="57"/>
      <c r="F44" s="59" t="s">
        <v>67</v>
      </c>
      <c r="G44" s="261">
        <v>149.5</v>
      </c>
      <c r="H44" s="261">
        <v>149.5</v>
      </c>
      <c r="I44" s="261">
        <v>38.6</v>
      </c>
      <c r="J44" s="261"/>
      <c r="K44" s="261"/>
      <c r="L44" s="261"/>
      <c r="M44" s="261"/>
      <c r="N44" s="261"/>
      <c r="O44" s="27" t="e">
        <f>#REF!+#REF!+#REF!+#REF!+#REF!+#REF!+#REF!+#REF!+#REF!</f>
        <v>#REF!</v>
      </c>
    </row>
    <row r="45" spans="1:15" s="19" customFormat="1" ht="40.5" customHeight="1" x14ac:dyDescent="0.25">
      <c r="A45" s="24" t="s">
        <v>68</v>
      </c>
      <c r="B45" s="24" t="s">
        <v>69</v>
      </c>
      <c r="C45" s="24" t="s">
        <v>70</v>
      </c>
      <c r="D45" s="16" t="s">
        <v>71</v>
      </c>
      <c r="E45" s="57"/>
      <c r="F45" s="59" t="s">
        <v>72</v>
      </c>
      <c r="G45" s="261">
        <f>G46+G47+G48</f>
        <v>75.400000000000006</v>
      </c>
      <c r="H45" s="261">
        <f>H46+H47+H48</f>
        <v>53.8</v>
      </c>
      <c r="I45" s="261">
        <v>1.8</v>
      </c>
      <c r="J45" s="261">
        <f>I45/G45*100</f>
        <v>2.3872679045092835</v>
      </c>
      <c r="K45" s="261">
        <f>K46+K47+K48</f>
        <v>0</v>
      </c>
      <c r="L45" s="261"/>
      <c r="M45" s="261"/>
      <c r="N45" s="261"/>
      <c r="O45" s="27"/>
    </row>
    <row r="46" spans="1:15" s="51" customFormat="1" ht="36" customHeight="1" x14ac:dyDescent="0.25">
      <c r="A46" s="21"/>
      <c r="B46" s="21"/>
      <c r="C46" s="21"/>
      <c r="D46" s="28"/>
      <c r="E46" s="28"/>
      <c r="F46" s="43" t="s">
        <v>73</v>
      </c>
      <c r="G46" s="260">
        <v>15</v>
      </c>
      <c r="H46" s="260">
        <v>6.8</v>
      </c>
      <c r="I46" s="260">
        <v>0</v>
      </c>
      <c r="J46" s="260"/>
      <c r="K46" s="260"/>
      <c r="L46" s="260"/>
      <c r="M46" s="260"/>
      <c r="N46" s="260"/>
      <c r="O46" s="14"/>
    </row>
    <row r="47" spans="1:15" s="51" customFormat="1" ht="81.75" customHeight="1" x14ac:dyDescent="0.25">
      <c r="A47" s="42"/>
      <c r="B47" s="21"/>
      <c r="C47" s="21"/>
      <c r="D47" s="43"/>
      <c r="E47" s="28"/>
      <c r="F47" s="43" t="s">
        <v>74</v>
      </c>
      <c r="G47" s="260">
        <v>40</v>
      </c>
      <c r="H47" s="260">
        <v>40</v>
      </c>
      <c r="I47" s="260">
        <v>0</v>
      </c>
      <c r="J47" s="260"/>
      <c r="K47" s="260"/>
      <c r="L47" s="260"/>
      <c r="M47" s="260"/>
      <c r="N47" s="260"/>
      <c r="O47" s="14"/>
    </row>
    <row r="48" spans="1:15" s="19" customFormat="1" ht="33" customHeight="1" x14ac:dyDescent="0.25">
      <c r="A48" s="24"/>
      <c r="B48" s="24"/>
      <c r="C48" s="24"/>
      <c r="D48" s="57"/>
      <c r="E48" s="57"/>
      <c r="F48" s="60" t="s">
        <v>75</v>
      </c>
      <c r="G48" s="260">
        <v>20.399999999999999</v>
      </c>
      <c r="H48" s="260">
        <v>7</v>
      </c>
      <c r="I48" s="260">
        <v>1.8</v>
      </c>
      <c r="J48" s="260"/>
      <c r="K48" s="260"/>
      <c r="L48" s="260"/>
      <c r="M48" s="260"/>
      <c r="N48" s="260"/>
      <c r="O48" s="27"/>
    </row>
    <row r="49" spans="1:15" s="51" customFormat="1" ht="89.25" customHeight="1" x14ac:dyDescent="0.25">
      <c r="A49" s="21" t="s">
        <v>76</v>
      </c>
      <c r="B49" s="21" t="s">
        <v>77</v>
      </c>
      <c r="C49" s="21" t="s">
        <v>70</v>
      </c>
      <c r="D49" s="28" t="s">
        <v>78</v>
      </c>
      <c r="E49" s="28"/>
      <c r="F49" s="60" t="s">
        <v>79</v>
      </c>
      <c r="G49" s="261">
        <v>30</v>
      </c>
      <c r="H49" s="261">
        <v>11.5</v>
      </c>
      <c r="I49" s="261">
        <v>6.6</v>
      </c>
      <c r="J49" s="261">
        <f t="shared" ref="J49:J57" si="5">I49/G49*100</f>
        <v>22</v>
      </c>
      <c r="K49" s="261">
        <v>0</v>
      </c>
      <c r="L49" s="261"/>
      <c r="M49" s="261"/>
      <c r="N49" s="261"/>
      <c r="O49" s="14"/>
    </row>
    <row r="50" spans="1:15" s="51" customFormat="1" ht="78.75" customHeight="1" x14ac:dyDescent="0.25">
      <c r="A50" s="21" t="s">
        <v>80</v>
      </c>
      <c r="B50" s="21" t="s">
        <v>81</v>
      </c>
      <c r="C50" s="21" t="s">
        <v>70</v>
      </c>
      <c r="D50" s="28" t="s">
        <v>82</v>
      </c>
      <c r="E50" s="28"/>
      <c r="F50" s="59" t="s">
        <v>83</v>
      </c>
      <c r="G50" s="261">
        <v>150</v>
      </c>
      <c r="H50" s="261">
        <v>120</v>
      </c>
      <c r="I50" s="261">
        <v>63.9</v>
      </c>
      <c r="J50" s="261">
        <f t="shared" si="5"/>
        <v>42.6</v>
      </c>
      <c r="K50" s="261"/>
      <c r="L50" s="261"/>
      <c r="M50" s="261"/>
      <c r="N50" s="261"/>
      <c r="O50" s="14"/>
    </row>
    <row r="51" spans="1:15" s="19" customFormat="1" ht="71.25" customHeight="1" x14ac:dyDescent="0.25">
      <c r="A51" s="21" t="s">
        <v>84</v>
      </c>
      <c r="B51" s="21" t="s">
        <v>85</v>
      </c>
      <c r="C51" s="21" t="s">
        <v>70</v>
      </c>
      <c r="D51" s="28" t="s">
        <v>86</v>
      </c>
      <c r="E51" s="57"/>
      <c r="F51" s="61" t="s">
        <v>87</v>
      </c>
      <c r="G51" s="261">
        <v>150</v>
      </c>
      <c r="H51" s="261">
        <v>98</v>
      </c>
      <c r="I51" s="261">
        <v>98</v>
      </c>
      <c r="J51" s="261">
        <f t="shared" si="5"/>
        <v>65.333333333333329</v>
      </c>
      <c r="K51" s="261"/>
      <c r="L51" s="261"/>
      <c r="M51" s="261"/>
      <c r="N51" s="261"/>
      <c r="O51" s="27"/>
    </row>
    <row r="52" spans="1:15" s="19" customFormat="1" ht="33.75" customHeight="1" x14ac:dyDescent="0.25">
      <c r="A52" s="207" t="s">
        <v>88</v>
      </c>
      <c r="B52" s="207" t="s">
        <v>89</v>
      </c>
      <c r="C52" s="207" t="s">
        <v>70</v>
      </c>
      <c r="D52" s="208" t="s">
        <v>90</v>
      </c>
      <c r="E52" s="203"/>
      <c r="F52" s="209"/>
      <c r="G52" s="268">
        <f>G53+G54+G55+G56</f>
        <v>487.75</v>
      </c>
      <c r="H52" s="268">
        <f>H53+H54+H55+H56</f>
        <v>174</v>
      </c>
      <c r="I52" s="268">
        <f>I53+I54+I55+I56</f>
        <v>122.7</v>
      </c>
      <c r="J52" s="268">
        <f t="shared" si="5"/>
        <v>25.156330087134805</v>
      </c>
      <c r="K52" s="268">
        <f>K53+K54+K55+K56</f>
        <v>0</v>
      </c>
      <c r="L52" s="268"/>
      <c r="M52" s="268"/>
      <c r="N52" s="268"/>
      <c r="O52" s="27"/>
    </row>
    <row r="53" spans="1:15" s="19" customFormat="1" ht="55.5" customHeight="1" x14ac:dyDescent="0.25">
      <c r="A53" s="21" t="s">
        <v>91</v>
      </c>
      <c r="B53" s="42">
        <v>2221</v>
      </c>
      <c r="C53" s="21" t="s">
        <v>70</v>
      </c>
      <c r="D53" s="28"/>
      <c r="E53" s="28"/>
      <c r="F53" s="13" t="s">
        <v>280</v>
      </c>
      <c r="G53" s="261">
        <v>130</v>
      </c>
      <c r="H53" s="261">
        <v>43.5</v>
      </c>
      <c r="I53" s="261">
        <v>28.4</v>
      </c>
      <c r="J53" s="261">
        <f t="shared" si="5"/>
        <v>21.846153846153847</v>
      </c>
      <c r="K53" s="260"/>
      <c r="L53" s="260"/>
      <c r="M53" s="260"/>
      <c r="N53" s="260"/>
      <c r="O53" s="27"/>
    </row>
    <row r="54" spans="1:15" s="19" customFormat="1" ht="105" customHeight="1" x14ac:dyDescent="0.25">
      <c r="A54" s="21" t="s">
        <v>92</v>
      </c>
      <c r="B54" s="42">
        <v>2222</v>
      </c>
      <c r="C54" s="21" t="s">
        <v>70</v>
      </c>
      <c r="D54" s="28"/>
      <c r="E54" s="28"/>
      <c r="F54" s="62" t="s">
        <v>93</v>
      </c>
      <c r="G54" s="261">
        <v>72</v>
      </c>
      <c r="H54" s="261">
        <v>24</v>
      </c>
      <c r="I54" s="261">
        <v>9.3000000000000007</v>
      </c>
      <c r="J54" s="261">
        <f t="shared" si="5"/>
        <v>12.916666666666668</v>
      </c>
      <c r="K54" s="261"/>
      <c r="L54" s="261"/>
      <c r="M54" s="261"/>
      <c r="N54" s="261"/>
      <c r="O54" s="27"/>
    </row>
    <row r="55" spans="1:15" s="19" customFormat="1" ht="86.25" customHeight="1" x14ac:dyDescent="0.25">
      <c r="A55" s="21" t="s">
        <v>94</v>
      </c>
      <c r="B55" s="42">
        <v>2223</v>
      </c>
      <c r="C55" s="21" t="s">
        <v>70</v>
      </c>
      <c r="D55" s="28"/>
      <c r="E55" s="28"/>
      <c r="F55" s="43" t="s">
        <v>95</v>
      </c>
      <c r="G55" s="261">
        <v>226</v>
      </c>
      <c r="H55" s="261">
        <v>76.5</v>
      </c>
      <c r="I55" s="261">
        <v>66</v>
      </c>
      <c r="J55" s="261">
        <f t="shared" si="5"/>
        <v>29.20353982300885</v>
      </c>
      <c r="K55" s="261"/>
      <c r="L55" s="261"/>
      <c r="M55" s="261"/>
      <c r="N55" s="261"/>
      <c r="O55" s="27"/>
    </row>
    <row r="56" spans="1:15" s="51" customFormat="1" ht="69.75" customHeight="1" x14ac:dyDescent="0.25">
      <c r="A56" s="42">
        <v>1512224</v>
      </c>
      <c r="B56" s="21" t="s">
        <v>96</v>
      </c>
      <c r="C56" s="21" t="s">
        <v>70</v>
      </c>
      <c r="D56" s="16"/>
      <c r="E56" s="28"/>
      <c r="F56" s="13" t="s">
        <v>97</v>
      </c>
      <c r="G56" s="261">
        <v>59.75</v>
      </c>
      <c r="H56" s="261">
        <v>30</v>
      </c>
      <c r="I56" s="261">
        <v>19</v>
      </c>
      <c r="J56" s="261">
        <f t="shared" si="5"/>
        <v>31.799163179916317</v>
      </c>
      <c r="K56" s="261"/>
      <c r="L56" s="261"/>
      <c r="M56" s="261"/>
      <c r="N56" s="261"/>
      <c r="O56" s="14"/>
    </row>
    <row r="57" spans="1:15" s="64" customFormat="1" ht="85.5" customHeight="1" x14ac:dyDescent="0.25">
      <c r="A57" s="42">
        <v>1513240</v>
      </c>
      <c r="B57" s="21" t="s">
        <v>98</v>
      </c>
      <c r="C57" s="21" t="s">
        <v>99</v>
      </c>
      <c r="D57" s="45" t="s">
        <v>100</v>
      </c>
      <c r="E57" s="63" t="s">
        <v>100</v>
      </c>
      <c r="F57" s="45" t="s">
        <v>101</v>
      </c>
      <c r="G57" s="261">
        <f>50+23.5</f>
        <v>73.5</v>
      </c>
      <c r="H57" s="261">
        <v>16.5</v>
      </c>
      <c r="I57" s="261">
        <v>14.9</v>
      </c>
      <c r="J57" s="261">
        <f t="shared" si="5"/>
        <v>20.272108843537413</v>
      </c>
      <c r="K57" s="261"/>
      <c r="L57" s="261"/>
      <c r="M57" s="261"/>
      <c r="N57" s="261"/>
      <c r="O57" s="27"/>
    </row>
    <row r="58" spans="1:15" s="65" customFormat="1" ht="36" customHeight="1" x14ac:dyDescent="0.25">
      <c r="A58" s="48">
        <v>1513190</v>
      </c>
      <c r="B58" s="49" t="s">
        <v>102</v>
      </c>
      <c r="C58" s="49" t="s">
        <v>103</v>
      </c>
      <c r="D58" s="47"/>
      <c r="E58" s="47"/>
      <c r="F58" s="13" t="s">
        <v>281</v>
      </c>
      <c r="G58" s="261">
        <f>G59+G60+G63</f>
        <v>382.25</v>
      </c>
      <c r="H58" s="261">
        <f>H59+H60+H63</f>
        <v>114.2</v>
      </c>
      <c r="I58" s="261">
        <f>I59+I60+I63</f>
        <v>31.3</v>
      </c>
      <c r="J58" s="261">
        <f t="shared" ref="J58:N58" si="6">J59+J60+J63</f>
        <v>0</v>
      </c>
      <c r="K58" s="261">
        <f t="shared" si="6"/>
        <v>500</v>
      </c>
      <c r="L58" s="261">
        <f t="shared" si="6"/>
        <v>0</v>
      </c>
      <c r="M58" s="261">
        <f t="shared" si="6"/>
        <v>0</v>
      </c>
      <c r="N58" s="261">
        <f t="shared" si="6"/>
        <v>0</v>
      </c>
      <c r="O58" s="14"/>
    </row>
    <row r="59" spans="1:15" s="65" customFormat="1" ht="115.5" customHeight="1" x14ac:dyDescent="0.25">
      <c r="A59" s="42">
        <v>1513190</v>
      </c>
      <c r="B59" s="21" t="s">
        <v>102</v>
      </c>
      <c r="C59" s="21" t="s">
        <v>103</v>
      </c>
      <c r="D59" s="16" t="s">
        <v>104</v>
      </c>
      <c r="E59" s="47"/>
      <c r="F59" s="43" t="s">
        <v>300</v>
      </c>
      <c r="G59" s="260">
        <v>150</v>
      </c>
      <c r="H59" s="260">
        <v>50</v>
      </c>
      <c r="I59" s="260">
        <v>10.5</v>
      </c>
      <c r="J59" s="260"/>
      <c r="K59" s="260"/>
      <c r="L59" s="260"/>
      <c r="M59" s="260"/>
      <c r="N59" s="260"/>
      <c r="O59" s="14"/>
    </row>
    <row r="60" spans="1:15" s="65" customFormat="1" ht="37.5" customHeight="1" x14ac:dyDescent="0.25">
      <c r="A60" s="42">
        <v>1513200</v>
      </c>
      <c r="B60" s="21" t="s">
        <v>105</v>
      </c>
      <c r="C60" s="21"/>
      <c r="D60" s="68" t="s">
        <v>106</v>
      </c>
      <c r="E60" s="47"/>
      <c r="F60" s="43"/>
      <c r="G60" s="260">
        <f>G61+G62</f>
        <v>232.25</v>
      </c>
      <c r="H60" s="260">
        <f>H61+H62</f>
        <v>64.2</v>
      </c>
      <c r="I60" s="260">
        <f>I61+I62</f>
        <v>20.8</v>
      </c>
      <c r="J60" s="260"/>
      <c r="K60" s="260">
        <f>K61+K62</f>
        <v>0</v>
      </c>
      <c r="L60" s="260"/>
      <c r="M60" s="260"/>
      <c r="N60" s="260"/>
      <c r="O60" s="14"/>
    </row>
    <row r="61" spans="1:15" s="65" customFormat="1" ht="133.5" customHeight="1" x14ac:dyDescent="0.25">
      <c r="A61" s="42">
        <v>1513201</v>
      </c>
      <c r="B61" s="21" t="s">
        <v>107</v>
      </c>
      <c r="C61" s="21" t="s">
        <v>108</v>
      </c>
      <c r="D61" s="16" t="s">
        <v>109</v>
      </c>
      <c r="E61" s="13"/>
      <c r="F61" s="43" t="s">
        <v>110</v>
      </c>
      <c r="G61" s="260">
        <v>200</v>
      </c>
      <c r="H61" s="260">
        <v>52</v>
      </c>
      <c r="I61" s="260">
        <v>10</v>
      </c>
      <c r="J61" s="260"/>
      <c r="K61" s="260"/>
      <c r="L61" s="260"/>
      <c r="M61" s="260"/>
      <c r="N61" s="260"/>
      <c r="O61" s="14"/>
    </row>
    <row r="62" spans="1:15" s="10" customFormat="1" ht="65.25" customHeight="1" x14ac:dyDescent="0.25">
      <c r="A62" s="42">
        <v>1513202</v>
      </c>
      <c r="B62" s="42">
        <v>3202</v>
      </c>
      <c r="C62" s="42">
        <v>1030</v>
      </c>
      <c r="D62" s="16" t="s">
        <v>111</v>
      </c>
      <c r="E62" s="66"/>
      <c r="F62" s="43" t="s">
        <v>112</v>
      </c>
      <c r="G62" s="260">
        <f>34.45-2.2</f>
        <v>32.25</v>
      </c>
      <c r="H62" s="260">
        <v>12.2</v>
      </c>
      <c r="I62" s="260">
        <v>10.8</v>
      </c>
      <c r="J62" s="260"/>
      <c r="K62" s="260"/>
      <c r="L62" s="260"/>
      <c r="M62" s="260"/>
      <c r="N62" s="260"/>
      <c r="O62" s="27"/>
    </row>
    <row r="63" spans="1:15" s="10" customFormat="1" ht="101.25" customHeight="1" x14ac:dyDescent="0.3">
      <c r="A63" s="233" t="s">
        <v>359</v>
      </c>
      <c r="B63" s="233" t="s">
        <v>360</v>
      </c>
      <c r="C63" s="233" t="s">
        <v>103</v>
      </c>
      <c r="D63" s="238" t="s">
        <v>361</v>
      </c>
      <c r="E63" s="66"/>
      <c r="F63" s="43" t="s">
        <v>358</v>
      </c>
      <c r="G63" s="260">
        <v>0</v>
      </c>
      <c r="H63" s="260">
        <v>0</v>
      </c>
      <c r="I63" s="260">
        <v>0</v>
      </c>
      <c r="J63" s="260"/>
      <c r="K63" s="260">
        <v>500</v>
      </c>
      <c r="L63" s="260">
        <v>0</v>
      </c>
      <c r="M63" s="260">
        <v>0</v>
      </c>
      <c r="N63" s="260"/>
      <c r="O63" s="27"/>
    </row>
    <row r="64" spans="1:15" s="65" customFormat="1" ht="38.25" customHeight="1" x14ac:dyDescent="0.25">
      <c r="A64" s="21"/>
      <c r="B64" s="21"/>
      <c r="C64" s="21"/>
      <c r="D64" s="43"/>
      <c r="E64" s="43"/>
      <c r="F64" s="43" t="s">
        <v>113</v>
      </c>
      <c r="G64" s="261">
        <f>G65+G71+G73+G74+G77</f>
        <v>4332.6499999999996</v>
      </c>
      <c r="H64" s="261">
        <f>H65+H71+H73+H74+H77</f>
        <v>1165</v>
      </c>
      <c r="I64" s="261">
        <f>I65+I71+I73+I74+I77</f>
        <v>828</v>
      </c>
      <c r="J64" s="261"/>
      <c r="K64" s="261"/>
      <c r="L64" s="261"/>
      <c r="M64" s="261"/>
      <c r="N64" s="261"/>
      <c r="O64" s="14"/>
    </row>
    <row r="65" spans="1:15" s="65" customFormat="1" ht="275.25" customHeight="1" x14ac:dyDescent="0.25">
      <c r="A65" s="11" t="s">
        <v>114</v>
      </c>
      <c r="B65" s="11" t="s">
        <v>115</v>
      </c>
      <c r="C65" s="11" t="s">
        <v>108</v>
      </c>
      <c r="D65" s="67" t="s">
        <v>116</v>
      </c>
      <c r="E65" s="156" t="s">
        <v>116</v>
      </c>
      <c r="F65" s="43"/>
      <c r="G65" s="261">
        <f>G69+G70+G66+G67+G68</f>
        <v>1131</v>
      </c>
      <c r="H65" s="261">
        <f>H69+H70+H66+H67+H68</f>
        <v>323.8</v>
      </c>
      <c r="I65" s="261">
        <f>I69+I70+I66+I67+I68</f>
        <v>257.5</v>
      </c>
      <c r="J65" s="261"/>
      <c r="K65" s="261"/>
      <c r="L65" s="261"/>
      <c r="M65" s="261"/>
      <c r="N65" s="261"/>
      <c r="O65" s="14"/>
    </row>
    <row r="66" spans="1:15" s="228" customFormat="1" ht="54" customHeight="1" x14ac:dyDescent="0.25">
      <c r="A66" s="42">
        <v>1513031</v>
      </c>
      <c r="B66" s="21" t="s">
        <v>326</v>
      </c>
      <c r="C66" s="21"/>
      <c r="D66" s="28"/>
      <c r="E66" s="47"/>
      <c r="F66" s="43" t="s">
        <v>329</v>
      </c>
      <c r="G66" s="260">
        <v>75</v>
      </c>
      <c r="H66" s="260">
        <v>0</v>
      </c>
      <c r="I66" s="260">
        <v>0</v>
      </c>
      <c r="J66" s="260"/>
      <c r="K66" s="260"/>
      <c r="L66" s="260"/>
      <c r="M66" s="260"/>
      <c r="N66" s="260"/>
      <c r="O66" s="52"/>
    </row>
    <row r="67" spans="1:15" s="228" customFormat="1" ht="54" customHeight="1" x14ac:dyDescent="0.25">
      <c r="A67" s="42">
        <v>1513033</v>
      </c>
      <c r="B67" s="21" t="s">
        <v>327</v>
      </c>
      <c r="C67" s="21"/>
      <c r="D67" s="28"/>
      <c r="E67" s="47"/>
      <c r="F67" s="43" t="s">
        <v>330</v>
      </c>
      <c r="G67" s="260">
        <v>36</v>
      </c>
      <c r="H67" s="260">
        <v>9.5</v>
      </c>
      <c r="I67" s="260">
        <v>5</v>
      </c>
      <c r="J67" s="260"/>
      <c r="K67" s="260"/>
      <c r="L67" s="260"/>
      <c r="M67" s="260"/>
      <c r="N67" s="260"/>
      <c r="O67" s="52"/>
    </row>
    <row r="68" spans="1:15" s="228" customFormat="1" ht="54" customHeight="1" x14ac:dyDescent="0.25">
      <c r="A68" s="42">
        <v>1513034</v>
      </c>
      <c r="B68" s="21" t="s">
        <v>328</v>
      </c>
      <c r="C68" s="21"/>
      <c r="D68" s="28"/>
      <c r="E68" s="47"/>
      <c r="F68" s="43" t="s">
        <v>331</v>
      </c>
      <c r="G68" s="260">
        <v>240</v>
      </c>
      <c r="H68" s="260">
        <v>159.69999999999999</v>
      </c>
      <c r="I68" s="260">
        <v>141.4</v>
      </c>
      <c r="J68" s="260"/>
      <c r="K68" s="260"/>
      <c r="L68" s="260"/>
      <c r="M68" s="260"/>
      <c r="N68" s="260"/>
      <c r="O68" s="52"/>
    </row>
    <row r="69" spans="1:15" s="228" customFormat="1" ht="54" customHeight="1" x14ac:dyDescent="0.25">
      <c r="A69" s="42">
        <v>1513035</v>
      </c>
      <c r="B69" s="21" t="s">
        <v>117</v>
      </c>
      <c r="C69" s="21" t="s">
        <v>118</v>
      </c>
      <c r="D69" s="28" t="s">
        <v>119</v>
      </c>
      <c r="E69" s="47"/>
      <c r="F69" s="43" t="s">
        <v>120</v>
      </c>
      <c r="G69" s="260">
        <v>750</v>
      </c>
      <c r="H69" s="260">
        <v>144.30000000000001</v>
      </c>
      <c r="I69" s="260">
        <v>101.3</v>
      </c>
      <c r="J69" s="260"/>
      <c r="K69" s="260"/>
      <c r="L69" s="260"/>
      <c r="M69" s="260"/>
      <c r="N69" s="260"/>
      <c r="O69" s="52"/>
    </row>
    <row r="70" spans="1:15" s="228" customFormat="1" ht="54" customHeight="1" x14ac:dyDescent="0.25">
      <c r="A70" s="42">
        <v>1513037</v>
      </c>
      <c r="B70" s="21" t="s">
        <v>121</v>
      </c>
      <c r="C70" s="21" t="s">
        <v>118</v>
      </c>
      <c r="D70" s="28" t="s">
        <v>122</v>
      </c>
      <c r="E70" s="47"/>
      <c r="F70" s="43" t="s">
        <v>123</v>
      </c>
      <c r="G70" s="260">
        <v>30</v>
      </c>
      <c r="H70" s="260">
        <v>10.3</v>
      </c>
      <c r="I70" s="260">
        <v>9.8000000000000007</v>
      </c>
      <c r="J70" s="260"/>
      <c r="K70" s="260"/>
      <c r="L70" s="260"/>
      <c r="M70" s="260"/>
      <c r="N70" s="260"/>
      <c r="O70" s="52"/>
    </row>
    <row r="71" spans="1:15" s="65" customFormat="1" ht="120.75" customHeight="1" x14ac:dyDescent="0.25">
      <c r="A71" s="42">
        <v>1513180</v>
      </c>
      <c r="B71" s="21" t="s">
        <v>124</v>
      </c>
      <c r="C71" s="21"/>
      <c r="D71" s="67" t="s">
        <v>125</v>
      </c>
      <c r="E71" s="47"/>
      <c r="F71" s="43"/>
      <c r="G71" s="260">
        <f>G72</f>
        <v>200</v>
      </c>
      <c r="H71" s="260">
        <f t="shared" ref="H71:I71" si="7">H72</f>
        <v>64</v>
      </c>
      <c r="I71" s="260">
        <f t="shared" si="7"/>
        <v>45.5</v>
      </c>
      <c r="J71" s="260"/>
      <c r="K71" s="260">
        <f>K72</f>
        <v>0</v>
      </c>
      <c r="L71" s="260"/>
      <c r="M71" s="260"/>
      <c r="N71" s="260"/>
      <c r="O71" s="14"/>
    </row>
    <row r="72" spans="1:15" s="10" customFormat="1" ht="101.25" customHeight="1" x14ac:dyDescent="0.25">
      <c r="A72" s="21" t="s">
        <v>126</v>
      </c>
      <c r="B72" s="21" t="s">
        <v>127</v>
      </c>
      <c r="C72" s="21" t="s">
        <v>128</v>
      </c>
      <c r="D72" s="43" t="s">
        <v>129</v>
      </c>
      <c r="E72" s="44"/>
      <c r="F72" s="45" t="s">
        <v>130</v>
      </c>
      <c r="G72" s="260">
        <v>200</v>
      </c>
      <c r="H72" s="260">
        <v>64</v>
      </c>
      <c r="I72" s="260">
        <v>45.5</v>
      </c>
      <c r="J72" s="260"/>
      <c r="K72" s="260"/>
      <c r="L72" s="260"/>
      <c r="M72" s="260"/>
      <c r="N72" s="260"/>
      <c r="O72" s="27"/>
    </row>
    <row r="73" spans="1:15" s="64" customFormat="1" ht="114" customHeight="1" x14ac:dyDescent="0.25">
      <c r="A73" s="21" t="s">
        <v>131</v>
      </c>
      <c r="B73" s="21" t="s">
        <v>102</v>
      </c>
      <c r="C73" s="21" t="s">
        <v>103</v>
      </c>
      <c r="D73" s="16" t="s">
        <v>104</v>
      </c>
      <c r="E73" s="44"/>
      <c r="F73" s="45" t="s">
        <v>132</v>
      </c>
      <c r="G73" s="260">
        <v>75</v>
      </c>
      <c r="H73" s="260">
        <v>25</v>
      </c>
      <c r="I73" s="260">
        <v>12.9</v>
      </c>
      <c r="J73" s="260"/>
      <c r="K73" s="260"/>
      <c r="L73" s="260"/>
      <c r="M73" s="260"/>
      <c r="N73" s="260"/>
      <c r="O73" s="27"/>
    </row>
    <row r="74" spans="1:15" s="64" customFormat="1" ht="38.25" customHeight="1" x14ac:dyDescent="0.25">
      <c r="A74" s="21" t="s">
        <v>133</v>
      </c>
      <c r="B74" s="21" t="s">
        <v>105</v>
      </c>
      <c r="C74" s="21"/>
      <c r="D74" s="68" t="s">
        <v>106</v>
      </c>
      <c r="E74" s="44"/>
      <c r="F74" s="45"/>
      <c r="G74" s="260">
        <f>G75+G76</f>
        <v>1132.3499999999999</v>
      </c>
      <c r="H74" s="260">
        <f>H75+H76</f>
        <v>172</v>
      </c>
      <c r="I74" s="260">
        <f>I75+I76</f>
        <v>135.19999999999999</v>
      </c>
      <c r="J74" s="260"/>
      <c r="K74" s="260">
        <f>K75+K76</f>
        <v>0</v>
      </c>
      <c r="L74" s="260"/>
      <c r="M74" s="260"/>
      <c r="N74" s="260"/>
      <c r="O74" s="27"/>
    </row>
    <row r="75" spans="1:15" s="64" customFormat="1" ht="113.25" customHeight="1" x14ac:dyDescent="0.25">
      <c r="A75" s="21" t="s">
        <v>134</v>
      </c>
      <c r="B75" s="21" t="s">
        <v>107</v>
      </c>
      <c r="C75" s="21" t="s">
        <v>108</v>
      </c>
      <c r="D75" s="16" t="s">
        <v>109</v>
      </c>
      <c r="E75" s="44"/>
      <c r="F75" s="88" t="s">
        <v>135</v>
      </c>
      <c r="G75" s="260">
        <v>974</v>
      </c>
      <c r="H75" s="260">
        <v>101.6</v>
      </c>
      <c r="I75" s="260">
        <v>80.599999999999994</v>
      </c>
      <c r="J75" s="260"/>
      <c r="K75" s="260"/>
      <c r="L75" s="260"/>
      <c r="M75" s="260"/>
      <c r="N75" s="260"/>
      <c r="O75" s="27"/>
    </row>
    <row r="76" spans="1:15" s="10" customFormat="1" ht="78" customHeight="1" x14ac:dyDescent="0.25">
      <c r="A76" s="24" t="s">
        <v>136</v>
      </c>
      <c r="B76" s="21" t="s">
        <v>137</v>
      </c>
      <c r="C76" s="21" t="s">
        <v>108</v>
      </c>
      <c r="D76" s="43" t="s">
        <v>111</v>
      </c>
      <c r="E76" s="44"/>
      <c r="F76" s="43" t="s">
        <v>138</v>
      </c>
      <c r="G76" s="260">
        <f>156.15+2.2</f>
        <v>158.35</v>
      </c>
      <c r="H76" s="260">
        <v>70.400000000000006</v>
      </c>
      <c r="I76" s="260">
        <v>54.6</v>
      </c>
      <c r="J76" s="260"/>
      <c r="K76" s="260"/>
      <c r="L76" s="260"/>
      <c r="M76" s="260"/>
      <c r="N76" s="260"/>
      <c r="O76" s="27"/>
    </row>
    <row r="77" spans="1:15" s="10" customFormat="1" ht="40.5" customHeight="1" x14ac:dyDescent="0.25">
      <c r="A77" s="24" t="s">
        <v>139</v>
      </c>
      <c r="B77" s="21" t="s">
        <v>140</v>
      </c>
      <c r="C77" s="21" t="s">
        <v>141</v>
      </c>
      <c r="D77" s="68" t="s">
        <v>142</v>
      </c>
      <c r="E77" s="44"/>
      <c r="F77" s="43"/>
      <c r="G77" s="260">
        <f>G78</f>
        <v>1794.3</v>
      </c>
      <c r="H77" s="260">
        <f>H78</f>
        <v>580.20000000000005</v>
      </c>
      <c r="I77" s="260">
        <f>I78</f>
        <v>376.9</v>
      </c>
      <c r="J77" s="260"/>
      <c r="K77" s="260">
        <f>K78</f>
        <v>0</v>
      </c>
      <c r="L77" s="260"/>
      <c r="M77" s="260"/>
      <c r="N77" s="260"/>
      <c r="O77" s="27"/>
    </row>
    <row r="78" spans="1:15" s="65" customFormat="1" ht="191.25" customHeight="1" x14ac:dyDescent="0.25">
      <c r="A78" s="21" t="s">
        <v>143</v>
      </c>
      <c r="B78" s="21" t="s">
        <v>144</v>
      </c>
      <c r="C78" s="21" t="s">
        <v>141</v>
      </c>
      <c r="D78" s="16" t="s">
        <v>142</v>
      </c>
      <c r="E78" s="43"/>
      <c r="F78" s="43" t="s">
        <v>145</v>
      </c>
      <c r="G78" s="260">
        <v>1794.3</v>
      </c>
      <c r="H78" s="260">
        <v>580.20000000000005</v>
      </c>
      <c r="I78" s="260">
        <v>376.9</v>
      </c>
      <c r="J78" s="260"/>
      <c r="K78" s="260"/>
      <c r="L78" s="260"/>
      <c r="M78" s="260"/>
      <c r="N78" s="260"/>
      <c r="O78" s="14"/>
    </row>
    <row r="79" spans="1:15" s="65" customFormat="1" ht="101.25" customHeight="1" x14ac:dyDescent="0.3">
      <c r="A79" s="234" t="s">
        <v>349</v>
      </c>
      <c r="B79" s="233" t="s">
        <v>348</v>
      </c>
      <c r="C79" s="233" t="s">
        <v>141</v>
      </c>
      <c r="D79" s="235" t="s">
        <v>142</v>
      </c>
      <c r="E79" s="43"/>
      <c r="F79" s="13" t="s">
        <v>347</v>
      </c>
      <c r="G79" s="260">
        <v>25</v>
      </c>
      <c r="H79" s="260">
        <v>25</v>
      </c>
      <c r="I79" s="260">
        <v>25</v>
      </c>
      <c r="J79" s="260"/>
      <c r="K79" s="260"/>
      <c r="L79" s="260"/>
      <c r="M79" s="260"/>
      <c r="N79" s="260"/>
      <c r="O79" s="14"/>
    </row>
    <row r="80" spans="1:15" s="10" customFormat="1" ht="27.75" customHeight="1" x14ac:dyDescent="0.25">
      <c r="A80" s="50"/>
      <c r="B80" s="34"/>
      <c r="C80" s="34"/>
      <c r="D80" s="197" t="s">
        <v>50</v>
      </c>
      <c r="E80" s="201"/>
      <c r="F80" s="202"/>
      <c r="G80" s="262">
        <f>G43+G52+G57+G58+G64+G79</f>
        <v>5856.0499999999993</v>
      </c>
      <c r="H80" s="262">
        <f t="shared" ref="H80:N80" si="8">H43+H52+H57+H58+H64+H79</f>
        <v>1927.5</v>
      </c>
      <c r="I80" s="262">
        <f t="shared" si="8"/>
        <v>1230.8</v>
      </c>
      <c r="J80" s="262">
        <f t="shared" si="8"/>
        <v>83.0748617095513</v>
      </c>
      <c r="K80" s="262">
        <f t="shared" si="8"/>
        <v>500</v>
      </c>
      <c r="L80" s="262">
        <f t="shared" si="8"/>
        <v>0</v>
      </c>
      <c r="M80" s="262">
        <f t="shared" si="8"/>
        <v>0</v>
      </c>
      <c r="N80" s="262">
        <f t="shared" si="8"/>
        <v>0</v>
      </c>
      <c r="O80" s="27"/>
    </row>
    <row r="81" spans="1:15" s="10" customFormat="1" ht="43.5" customHeight="1" x14ac:dyDescent="0.25">
      <c r="A81" s="180">
        <v>2000000</v>
      </c>
      <c r="B81" s="167"/>
      <c r="C81" s="167"/>
      <c r="D81" s="181" t="s">
        <v>146</v>
      </c>
      <c r="E81" s="182"/>
      <c r="F81" s="165"/>
      <c r="G81" s="265"/>
      <c r="H81" s="265"/>
      <c r="I81" s="265"/>
      <c r="J81" s="265"/>
      <c r="K81" s="265"/>
      <c r="L81" s="265"/>
      <c r="M81" s="265"/>
      <c r="N81" s="265"/>
      <c r="O81" s="27"/>
    </row>
    <row r="82" spans="1:15" s="71" customFormat="1" ht="43.5" customHeight="1" x14ac:dyDescent="0.25">
      <c r="A82" s="180">
        <v>2010000</v>
      </c>
      <c r="B82" s="167"/>
      <c r="C82" s="167"/>
      <c r="D82" s="183" t="s">
        <v>146</v>
      </c>
      <c r="E82" s="182"/>
      <c r="F82" s="165"/>
      <c r="G82" s="265"/>
      <c r="H82" s="265"/>
      <c r="I82" s="265"/>
      <c r="J82" s="265"/>
      <c r="K82" s="265"/>
      <c r="L82" s="265"/>
      <c r="M82" s="265"/>
      <c r="N82" s="265"/>
      <c r="O82" s="70"/>
    </row>
    <row r="83" spans="1:15" s="71" customFormat="1" ht="43.5" customHeight="1" x14ac:dyDescent="0.25">
      <c r="A83" s="11" t="s">
        <v>147</v>
      </c>
      <c r="B83" s="11" t="s">
        <v>148</v>
      </c>
      <c r="C83" s="34"/>
      <c r="D83" s="156" t="s">
        <v>149</v>
      </c>
      <c r="E83" s="69"/>
      <c r="F83" s="9"/>
      <c r="G83" s="261">
        <f>G84</f>
        <v>5</v>
      </c>
      <c r="H83" s="261"/>
      <c r="I83" s="261"/>
      <c r="J83" s="261"/>
      <c r="K83" s="261">
        <f>K84</f>
        <v>0</v>
      </c>
      <c r="L83" s="261"/>
      <c r="M83" s="261"/>
      <c r="N83" s="261"/>
      <c r="O83" s="70"/>
    </row>
    <row r="84" spans="1:15" s="10" customFormat="1" ht="66" customHeight="1" x14ac:dyDescent="0.25">
      <c r="A84" s="42">
        <v>2013112</v>
      </c>
      <c r="B84" s="21" t="s">
        <v>150</v>
      </c>
      <c r="C84" s="49" t="s">
        <v>53</v>
      </c>
      <c r="D84" s="72" t="s">
        <v>151</v>
      </c>
      <c r="E84" s="69"/>
      <c r="F84" s="62" t="s">
        <v>282</v>
      </c>
      <c r="G84" s="261">
        <v>5</v>
      </c>
      <c r="H84" s="261"/>
      <c r="I84" s="261"/>
      <c r="J84" s="261"/>
      <c r="K84" s="261"/>
      <c r="L84" s="261"/>
      <c r="M84" s="261"/>
      <c r="N84" s="261"/>
      <c r="O84" s="27"/>
    </row>
    <row r="85" spans="1:15" s="73" customFormat="1" ht="35.25" customHeight="1" x14ac:dyDescent="0.25">
      <c r="A85" s="48"/>
      <c r="B85" s="49"/>
      <c r="C85" s="49"/>
      <c r="D85" s="197" t="s">
        <v>50</v>
      </c>
      <c r="E85" s="197"/>
      <c r="F85" s="198"/>
      <c r="G85" s="262">
        <f>G83</f>
        <v>5</v>
      </c>
      <c r="H85" s="262">
        <f>H83</f>
        <v>0</v>
      </c>
      <c r="I85" s="262">
        <f>I83</f>
        <v>0</v>
      </c>
      <c r="J85" s="262">
        <f>I85/G85*100</f>
        <v>0</v>
      </c>
      <c r="K85" s="262">
        <f>K83</f>
        <v>0</v>
      </c>
      <c r="L85" s="262"/>
      <c r="M85" s="262"/>
      <c r="N85" s="262"/>
      <c r="O85" s="31"/>
    </row>
    <row r="86" spans="1:15" s="65" customFormat="1" ht="58.5" customHeight="1" x14ac:dyDescent="0.25">
      <c r="A86" s="169">
        <v>2400000</v>
      </c>
      <c r="B86" s="176"/>
      <c r="C86" s="176"/>
      <c r="D86" s="171" t="s">
        <v>152</v>
      </c>
      <c r="E86" s="184"/>
      <c r="F86" s="173"/>
      <c r="G86" s="265"/>
      <c r="H86" s="265"/>
      <c r="I86" s="265"/>
      <c r="J86" s="265"/>
      <c r="K86" s="265"/>
      <c r="L86" s="265"/>
      <c r="M86" s="265"/>
      <c r="N86" s="265"/>
      <c r="O86" s="14"/>
    </row>
    <row r="87" spans="1:15" s="65" customFormat="1" ht="60.75" customHeight="1" x14ac:dyDescent="0.25">
      <c r="A87" s="169">
        <v>2410000</v>
      </c>
      <c r="B87" s="176"/>
      <c r="C87" s="176"/>
      <c r="D87" s="174" t="s">
        <v>152</v>
      </c>
      <c r="E87" s="184"/>
      <c r="F87" s="173"/>
      <c r="G87" s="265"/>
      <c r="H87" s="265"/>
      <c r="I87" s="265"/>
      <c r="J87" s="265"/>
      <c r="K87" s="265"/>
      <c r="L87" s="265"/>
      <c r="M87" s="265"/>
      <c r="N87" s="265"/>
      <c r="O87" s="14"/>
    </row>
    <row r="88" spans="1:15" s="74" customFormat="1" ht="50.25" customHeight="1" x14ac:dyDescent="0.25">
      <c r="A88" s="42">
        <v>2413140</v>
      </c>
      <c r="B88" s="21" t="s">
        <v>153</v>
      </c>
      <c r="C88" s="157" t="s">
        <v>53</v>
      </c>
      <c r="D88" s="158" t="s">
        <v>251</v>
      </c>
      <c r="E88" s="28"/>
      <c r="F88" s="210" t="s">
        <v>154</v>
      </c>
      <c r="G88" s="270">
        <f>G89</f>
        <v>85</v>
      </c>
      <c r="H88" s="270">
        <f>H89</f>
        <v>14</v>
      </c>
      <c r="I88" s="270">
        <f>I89</f>
        <v>11.6</v>
      </c>
      <c r="J88" s="270">
        <f>I88/G88*100</f>
        <v>13.647058823529413</v>
      </c>
      <c r="K88" s="270">
        <f>SUM(K90:K92)</f>
        <v>0</v>
      </c>
      <c r="L88" s="270"/>
      <c r="M88" s="270"/>
      <c r="N88" s="270"/>
      <c r="O88" s="14"/>
    </row>
    <row r="89" spans="1:15" s="74" customFormat="1" ht="85.5" customHeight="1" x14ac:dyDescent="0.3">
      <c r="A89" s="159" t="s">
        <v>249</v>
      </c>
      <c r="B89" s="159" t="s">
        <v>250</v>
      </c>
      <c r="C89" s="159" t="s">
        <v>53</v>
      </c>
      <c r="D89" s="158" t="s">
        <v>252</v>
      </c>
      <c r="E89" s="28"/>
      <c r="F89" s="43"/>
      <c r="G89" s="261">
        <f>SUM(G90:G92)</f>
        <v>85</v>
      </c>
      <c r="H89" s="261">
        <f>SUM(H90:H92)</f>
        <v>14</v>
      </c>
      <c r="I89" s="261">
        <f>SUM(I90:I92)</f>
        <v>11.6</v>
      </c>
      <c r="J89" s="261">
        <f>I89/G89*100</f>
        <v>13.647058823529413</v>
      </c>
      <c r="K89" s="261">
        <f t="shared" ref="K89" si="9">SUM(K90:K92)</f>
        <v>0</v>
      </c>
      <c r="L89" s="261"/>
      <c r="M89" s="261"/>
      <c r="N89" s="261"/>
      <c r="O89" s="14"/>
    </row>
    <row r="90" spans="1:15" s="10" customFormat="1" ht="69" customHeight="1" x14ac:dyDescent="0.25">
      <c r="A90" s="24"/>
      <c r="B90" s="24"/>
      <c r="C90" s="24"/>
      <c r="D90" s="160" t="s">
        <v>178</v>
      </c>
      <c r="E90" s="57"/>
      <c r="F90" s="43" t="s">
        <v>155</v>
      </c>
      <c r="G90" s="260">
        <v>50</v>
      </c>
      <c r="H90" s="260">
        <v>14</v>
      </c>
      <c r="I90" s="260">
        <v>11.6</v>
      </c>
      <c r="J90" s="260"/>
      <c r="K90" s="261"/>
      <c r="L90" s="261"/>
      <c r="M90" s="261"/>
      <c r="N90" s="261"/>
      <c r="O90" s="27"/>
    </row>
    <row r="91" spans="1:15" s="65" customFormat="1" ht="41.25" customHeight="1" x14ac:dyDescent="0.25">
      <c r="A91" s="21"/>
      <c r="B91" s="21"/>
      <c r="C91" s="21"/>
      <c r="D91" s="28"/>
      <c r="E91" s="28"/>
      <c r="F91" s="43" t="s">
        <v>156</v>
      </c>
      <c r="G91" s="260">
        <v>25</v>
      </c>
      <c r="H91" s="260"/>
      <c r="I91" s="260"/>
      <c r="J91" s="260"/>
      <c r="K91" s="261"/>
      <c r="L91" s="261"/>
      <c r="M91" s="261"/>
      <c r="N91" s="261"/>
      <c r="O91" s="14"/>
    </row>
    <row r="92" spans="1:15" s="65" customFormat="1" ht="24.75" customHeight="1" x14ac:dyDescent="0.25">
      <c r="A92" s="21"/>
      <c r="B92" s="21"/>
      <c r="C92" s="21"/>
      <c r="D92" s="28"/>
      <c r="E92" s="28"/>
      <c r="F92" s="60" t="s">
        <v>157</v>
      </c>
      <c r="G92" s="260">
        <v>10</v>
      </c>
      <c r="H92" s="260"/>
      <c r="I92" s="260"/>
      <c r="J92" s="260"/>
      <c r="K92" s="260"/>
      <c r="L92" s="260"/>
      <c r="M92" s="260"/>
      <c r="N92" s="260"/>
      <c r="O92" s="14"/>
    </row>
    <row r="93" spans="1:15" s="65" customFormat="1" ht="72.75" customHeight="1" x14ac:dyDescent="0.25">
      <c r="A93" s="21"/>
      <c r="B93" s="21"/>
      <c r="C93" s="21"/>
      <c r="D93" s="47"/>
      <c r="E93" s="47"/>
      <c r="F93" s="210" t="s">
        <v>158</v>
      </c>
      <c r="G93" s="270">
        <f>G94+G95+G98</f>
        <v>1017</v>
      </c>
      <c r="H93" s="270">
        <f>H94+H95+H98</f>
        <v>352.3</v>
      </c>
      <c r="I93" s="270">
        <f>I94+I95+I98</f>
        <v>180.96099999999998</v>
      </c>
      <c r="J93" s="270">
        <f>I93/G93*100</f>
        <v>17.793608652900687</v>
      </c>
      <c r="K93" s="270">
        <f>K94+K95+K98</f>
        <v>247</v>
      </c>
      <c r="L93" s="270">
        <f>L94+L95+L98</f>
        <v>247</v>
      </c>
      <c r="M93" s="270">
        <f>M94+M95+M98</f>
        <v>174.9</v>
      </c>
      <c r="N93" s="270">
        <f>M93/K93*100</f>
        <v>70.809716599190281</v>
      </c>
      <c r="O93" s="14"/>
    </row>
    <row r="94" spans="1:15" s="65" customFormat="1" ht="132" customHeight="1" x14ac:dyDescent="0.25">
      <c r="A94" s="49" t="s">
        <v>159</v>
      </c>
      <c r="B94" s="21" t="s">
        <v>160</v>
      </c>
      <c r="C94" s="21" t="s">
        <v>161</v>
      </c>
      <c r="D94" s="28" t="s">
        <v>162</v>
      </c>
      <c r="E94" s="47"/>
      <c r="F94" s="43" t="s">
        <v>163</v>
      </c>
      <c r="G94" s="260">
        <v>517</v>
      </c>
      <c r="H94" s="260">
        <v>147.19999999999999</v>
      </c>
      <c r="I94" s="260">
        <v>58.4</v>
      </c>
      <c r="J94" s="260">
        <f>I94/G94*100</f>
        <v>11.295938104448743</v>
      </c>
      <c r="K94" s="261">
        <v>247</v>
      </c>
      <c r="L94" s="261">
        <v>247</v>
      </c>
      <c r="M94" s="261">
        <v>174.9</v>
      </c>
      <c r="N94" s="261"/>
      <c r="O94" s="75"/>
    </row>
    <row r="95" spans="1:15" s="65" customFormat="1" ht="33.75" customHeight="1" x14ac:dyDescent="0.25">
      <c r="A95" s="11" t="s">
        <v>164</v>
      </c>
      <c r="B95" s="11" t="s">
        <v>165</v>
      </c>
      <c r="C95" s="21"/>
      <c r="D95" s="67" t="s">
        <v>166</v>
      </c>
      <c r="E95" s="212"/>
      <c r="F95" s="210"/>
      <c r="G95" s="271">
        <f>G96+G97</f>
        <v>300.25400000000002</v>
      </c>
      <c r="H95" s="271">
        <f>H96+H97</f>
        <v>107.9</v>
      </c>
      <c r="I95" s="271">
        <f>I96+I97</f>
        <v>79.2</v>
      </c>
      <c r="J95" s="271"/>
      <c r="K95" s="271">
        <f>K96+K97</f>
        <v>0</v>
      </c>
      <c r="L95" s="271"/>
      <c r="M95" s="271"/>
      <c r="N95" s="271"/>
      <c r="O95" s="75"/>
    </row>
    <row r="96" spans="1:15" s="10" customFormat="1" ht="54.75" customHeight="1" x14ac:dyDescent="0.25">
      <c r="A96" s="42">
        <v>2415011</v>
      </c>
      <c r="B96" s="42">
        <v>5011</v>
      </c>
      <c r="C96" s="21" t="s">
        <v>167</v>
      </c>
      <c r="D96" s="67" t="s">
        <v>168</v>
      </c>
      <c r="E96" s="66"/>
      <c r="F96" s="43" t="s">
        <v>169</v>
      </c>
      <c r="G96" s="260">
        <v>173.22399999999999</v>
      </c>
      <c r="H96" s="260">
        <v>54.2</v>
      </c>
      <c r="I96" s="260">
        <v>31</v>
      </c>
      <c r="J96" s="260"/>
      <c r="K96" s="272"/>
      <c r="L96" s="272"/>
      <c r="M96" s="272"/>
      <c r="N96" s="272"/>
      <c r="O96" s="27"/>
    </row>
    <row r="97" spans="1:16" s="65" customFormat="1" ht="56.25" customHeight="1" x14ac:dyDescent="0.25">
      <c r="A97" s="42">
        <v>2415012</v>
      </c>
      <c r="B97" s="21" t="s">
        <v>170</v>
      </c>
      <c r="C97" s="21" t="s">
        <v>167</v>
      </c>
      <c r="D97" s="43" t="s">
        <v>171</v>
      </c>
      <c r="E97" s="43" t="s">
        <v>171</v>
      </c>
      <c r="F97" s="43" t="s">
        <v>172</v>
      </c>
      <c r="G97" s="260">
        <v>127.03</v>
      </c>
      <c r="H97" s="260">
        <v>53.7</v>
      </c>
      <c r="I97" s="260">
        <v>48.2</v>
      </c>
      <c r="J97" s="260"/>
      <c r="K97" s="261"/>
      <c r="L97" s="261"/>
      <c r="M97" s="261"/>
      <c r="N97" s="261"/>
      <c r="O97" s="14"/>
    </row>
    <row r="98" spans="1:16" s="74" customFormat="1" ht="44.25" customHeight="1" x14ac:dyDescent="0.25">
      <c r="A98" s="42">
        <v>2412060</v>
      </c>
      <c r="B98" s="21" t="s">
        <v>173</v>
      </c>
      <c r="C98" s="21" t="s">
        <v>167</v>
      </c>
      <c r="D98" s="67" t="s">
        <v>253</v>
      </c>
      <c r="E98" s="28"/>
      <c r="F98" s="210"/>
      <c r="G98" s="271">
        <f>G99</f>
        <v>199.74600000000001</v>
      </c>
      <c r="H98" s="271">
        <f>H99</f>
        <v>97.2</v>
      </c>
      <c r="I98" s="271">
        <f>I99</f>
        <v>43.360999999999997</v>
      </c>
      <c r="J98" s="271"/>
      <c r="K98" s="271"/>
      <c r="L98" s="271"/>
      <c r="M98" s="271"/>
      <c r="N98" s="271"/>
      <c r="O98" s="76"/>
    </row>
    <row r="99" spans="1:16" s="74" customFormat="1" ht="166.5" customHeight="1" x14ac:dyDescent="0.25">
      <c r="A99" s="11" t="s">
        <v>255</v>
      </c>
      <c r="B99" s="11" t="s">
        <v>256</v>
      </c>
      <c r="C99" s="11" t="s">
        <v>167</v>
      </c>
      <c r="D99" s="67" t="s">
        <v>254</v>
      </c>
      <c r="E99" s="28"/>
      <c r="F99" s="43" t="s">
        <v>174</v>
      </c>
      <c r="G99" s="260">
        <v>199.74600000000001</v>
      </c>
      <c r="H99" s="260">
        <v>97.2</v>
      </c>
      <c r="I99" s="260">
        <v>43.360999999999997</v>
      </c>
      <c r="J99" s="260"/>
      <c r="K99" s="260"/>
      <c r="L99" s="260"/>
      <c r="M99" s="260"/>
      <c r="N99" s="260"/>
      <c r="O99" s="76"/>
    </row>
    <row r="100" spans="1:16" s="10" customFormat="1" ht="23.25" customHeight="1" x14ac:dyDescent="0.25">
      <c r="A100" s="24"/>
      <c r="B100" s="77"/>
      <c r="C100" s="77"/>
      <c r="D100" s="197" t="s">
        <v>50</v>
      </c>
      <c r="E100" s="203"/>
      <c r="F100" s="196"/>
      <c r="G100" s="262">
        <f>G88+G93</f>
        <v>1102</v>
      </c>
      <c r="H100" s="262">
        <f>H88+H93</f>
        <v>366.3</v>
      </c>
      <c r="I100" s="262">
        <f>I88+I93</f>
        <v>192.56099999999998</v>
      </c>
      <c r="J100" s="262">
        <f>I100/G100*100</f>
        <v>17.473774954627945</v>
      </c>
      <c r="K100" s="262">
        <f>K88+K93</f>
        <v>247</v>
      </c>
      <c r="L100" s="262">
        <f>L88+L93</f>
        <v>247</v>
      </c>
      <c r="M100" s="262">
        <f>M88+M93</f>
        <v>174.9</v>
      </c>
      <c r="N100" s="262"/>
      <c r="O100" s="27"/>
    </row>
    <row r="101" spans="1:16" s="65" customFormat="1" ht="82.5" customHeight="1" x14ac:dyDescent="0.25">
      <c r="A101" s="169">
        <v>4000000</v>
      </c>
      <c r="B101" s="185"/>
      <c r="C101" s="185"/>
      <c r="D101" s="186" t="s">
        <v>175</v>
      </c>
      <c r="E101" s="172"/>
      <c r="F101" s="173"/>
      <c r="G101" s="265"/>
      <c r="H101" s="265"/>
      <c r="I101" s="265"/>
      <c r="J101" s="265"/>
      <c r="K101" s="265"/>
      <c r="L101" s="265"/>
      <c r="M101" s="265"/>
      <c r="N101" s="265"/>
      <c r="O101" s="14"/>
    </row>
    <row r="102" spans="1:16" s="74" customFormat="1" ht="76.5" customHeight="1" x14ac:dyDescent="0.25">
      <c r="A102" s="187">
        <v>4010000</v>
      </c>
      <c r="B102" s="185"/>
      <c r="C102" s="185"/>
      <c r="D102" s="188" t="s">
        <v>175</v>
      </c>
      <c r="E102" s="172"/>
      <c r="F102" s="189"/>
      <c r="G102" s="267"/>
      <c r="H102" s="267"/>
      <c r="I102" s="267"/>
      <c r="J102" s="267"/>
      <c r="K102" s="267"/>
      <c r="L102" s="267"/>
      <c r="M102" s="267"/>
      <c r="N102" s="267"/>
      <c r="O102" s="14"/>
    </row>
    <row r="103" spans="1:16" s="74" customFormat="1" ht="53.25" customHeight="1" x14ac:dyDescent="0.25">
      <c r="A103" s="42"/>
      <c r="B103" s="42"/>
      <c r="C103" s="42"/>
      <c r="D103" s="43"/>
      <c r="E103" s="41"/>
      <c r="F103" s="43" t="s">
        <v>176</v>
      </c>
      <c r="G103" s="261">
        <f>G104+G113+G115+G117+G130+G136</f>
        <v>19138.957999999999</v>
      </c>
      <c r="H103" s="261">
        <f>H104+H113+H115+H117+H130+H136</f>
        <v>7926.4390000000003</v>
      </c>
      <c r="I103" s="261">
        <f>I104+I113+I115+I117+I130+I136</f>
        <v>6005.0198200000004</v>
      </c>
      <c r="J103" s="261">
        <f>I103/G103*100</f>
        <v>31.375897371215299</v>
      </c>
      <c r="K103" s="261">
        <f>K104+K113+K115+K117+K130+K136</f>
        <v>8280.9920000000002</v>
      </c>
      <c r="L103" s="261">
        <f>L104+L113+L115+L117+L130+L136</f>
        <v>2426.2919999999999</v>
      </c>
      <c r="M103" s="261">
        <f>M104+M113+M115+M117+M130+M136</f>
        <v>633.41294000000005</v>
      </c>
      <c r="N103" s="261">
        <f>M103/K103*100</f>
        <v>7.6489983325669195</v>
      </c>
      <c r="O103" s="75">
        <v>19690</v>
      </c>
      <c r="P103" s="79" t="e">
        <f>#REF!-O103</f>
        <v>#REF!</v>
      </c>
    </row>
    <row r="104" spans="1:16" s="74" customFormat="1" ht="81" customHeight="1" x14ac:dyDescent="0.25">
      <c r="A104" s="42">
        <v>4016010</v>
      </c>
      <c r="B104" s="42">
        <v>6010</v>
      </c>
      <c r="C104" s="42">
        <v>610</v>
      </c>
      <c r="D104" s="43" t="s">
        <v>177</v>
      </c>
      <c r="E104" s="41"/>
      <c r="F104" s="43"/>
      <c r="G104" s="261">
        <f>SUM(G105:G112)</f>
        <v>3084.7080000000001</v>
      </c>
      <c r="H104" s="261">
        <f>SUM(H105:H112)</f>
        <v>1892.7080000000001</v>
      </c>
      <c r="I104" s="261">
        <f>SUM(I105:I112)</f>
        <v>1513.1409999999998</v>
      </c>
      <c r="J104" s="261">
        <f>I104/G104*100</f>
        <v>49.052973571566568</v>
      </c>
      <c r="K104" s="260"/>
      <c r="L104" s="260"/>
      <c r="M104" s="260"/>
      <c r="N104" s="260"/>
      <c r="O104" s="14"/>
    </row>
    <row r="105" spans="1:16" s="74" customFormat="1" ht="108.75" customHeight="1" x14ac:dyDescent="0.25">
      <c r="A105" s="42"/>
      <c r="B105" s="42"/>
      <c r="C105" s="42"/>
      <c r="D105" s="80" t="s">
        <v>178</v>
      </c>
      <c r="E105" s="41"/>
      <c r="F105" s="43" t="s">
        <v>179</v>
      </c>
      <c r="G105" s="260">
        <v>507</v>
      </c>
      <c r="H105" s="260">
        <v>453</v>
      </c>
      <c r="I105" s="260">
        <v>452.64400000000001</v>
      </c>
      <c r="J105" s="260"/>
      <c r="K105" s="260"/>
      <c r="L105" s="260"/>
      <c r="M105" s="260"/>
      <c r="N105" s="260"/>
      <c r="O105" s="14"/>
    </row>
    <row r="106" spans="1:16" s="74" customFormat="1" ht="49.5" customHeight="1" x14ac:dyDescent="0.25">
      <c r="A106" s="42"/>
      <c r="B106" s="42"/>
      <c r="C106" s="42"/>
      <c r="D106" s="43"/>
      <c r="E106" s="41"/>
      <c r="F106" s="43" t="s">
        <v>180</v>
      </c>
      <c r="G106" s="260">
        <v>2000</v>
      </c>
      <c r="H106" s="260">
        <v>1050</v>
      </c>
      <c r="I106" s="260">
        <v>873.096</v>
      </c>
      <c r="J106" s="260"/>
      <c r="K106" s="260"/>
      <c r="L106" s="260"/>
      <c r="M106" s="260"/>
      <c r="N106" s="260"/>
      <c r="O106" s="14"/>
    </row>
    <row r="107" spans="1:16" s="74" customFormat="1" ht="41.25" customHeight="1" x14ac:dyDescent="0.25">
      <c r="A107" s="42"/>
      <c r="B107" s="42"/>
      <c r="C107" s="42"/>
      <c r="D107" s="43"/>
      <c r="E107" s="41"/>
      <c r="F107" s="43" t="s">
        <v>263</v>
      </c>
      <c r="G107" s="260">
        <f>214-17</f>
        <v>197</v>
      </c>
      <c r="H107" s="260">
        <v>133</v>
      </c>
      <c r="I107" s="260">
        <v>59.098999999999997</v>
      </c>
      <c r="J107" s="260"/>
      <c r="K107" s="260"/>
      <c r="L107" s="260"/>
      <c r="M107" s="260"/>
      <c r="N107" s="260"/>
      <c r="O107" s="14"/>
    </row>
    <row r="108" spans="1:16" s="74" customFormat="1" ht="49.5" customHeight="1" x14ac:dyDescent="0.25">
      <c r="A108" s="42"/>
      <c r="B108" s="42"/>
      <c r="C108" s="42"/>
      <c r="D108" s="43"/>
      <c r="E108" s="41"/>
      <c r="F108" s="43" t="s">
        <v>310</v>
      </c>
      <c r="G108" s="260">
        <v>67.707999999999998</v>
      </c>
      <c r="H108" s="260">
        <v>67.707999999999998</v>
      </c>
      <c r="I108" s="260">
        <v>53.097999999999999</v>
      </c>
      <c r="J108" s="260"/>
      <c r="K108" s="260"/>
      <c r="L108" s="260"/>
      <c r="M108" s="260"/>
      <c r="N108" s="260"/>
      <c r="O108" s="14"/>
    </row>
    <row r="109" spans="1:16" s="74" customFormat="1" ht="49.5" customHeight="1" x14ac:dyDescent="0.25">
      <c r="A109" s="42"/>
      <c r="B109" s="42"/>
      <c r="C109" s="42"/>
      <c r="D109" s="43"/>
      <c r="E109" s="41"/>
      <c r="F109" s="43" t="s">
        <v>311</v>
      </c>
      <c r="G109" s="260">
        <v>145</v>
      </c>
      <c r="H109" s="260">
        <v>145</v>
      </c>
      <c r="I109" s="260">
        <v>43.404000000000003</v>
      </c>
      <c r="J109" s="260"/>
      <c r="K109" s="260"/>
      <c r="L109" s="260"/>
      <c r="M109" s="260"/>
      <c r="N109" s="260"/>
      <c r="O109" s="14"/>
    </row>
    <row r="110" spans="1:16" s="74" customFormat="1" ht="49.5" hidden="1" customHeight="1" x14ac:dyDescent="0.25">
      <c r="A110" s="42"/>
      <c r="B110" s="42"/>
      <c r="C110" s="42"/>
      <c r="D110" s="43"/>
      <c r="E110" s="41"/>
      <c r="F110" s="43" t="s">
        <v>312</v>
      </c>
      <c r="G110" s="260">
        <f>62-62</f>
        <v>0</v>
      </c>
      <c r="H110" s="260">
        <v>0</v>
      </c>
      <c r="I110" s="260">
        <v>0</v>
      </c>
      <c r="J110" s="260"/>
      <c r="K110" s="260"/>
      <c r="L110" s="260"/>
      <c r="M110" s="260"/>
      <c r="N110" s="260"/>
      <c r="O110" s="14"/>
    </row>
    <row r="111" spans="1:16" s="74" customFormat="1" ht="68.25" customHeight="1" x14ac:dyDescent="0.25">
      <c r="A111" s="42"/>
      <c r="B111" s="42"/>
      <c r="C111" s="42"/>
      <c r="D111" s="43"/>
      <c r="E111" s="41"/>
      <c r="F111" s="43" t="s">
        <v>301</v>
      </c>
      <c r="G111" s="260">
        <v>94</v>
      </c>
      <c r="H111" s="260">
        <v>44</v>
      </c>
      <c r="I111" s="260">
        <v>31.8</v>
      </c>
      <c r="J111" s="260"/>
      <c r="K111" s="260"/>
      <c r="L111" s="260"/>
      <c r="M111" s="260"/>
      <c r="N111" s="260"/>
      <c r="O111" s="14"/>
    </row>
    <row r="112" spans="1:16" s="74" customFormat="1" ht="53.25" customHeight="1" x14ac:dyDescent="0.25">
      <c r="A112" s="42"/>
      <c r="B112" s="42"/>
      <c r="C112" s="42"/>
      <c r="D112" s="43"/>
      <c r="E112" s="41"/>
      <c r="F112" s="43" t="s">
        <v>377</v>
      </c>
      <c r="G112" s="260">
        <v>74</v>
      </c>
      <c r="H112" s="260">
        <v>0</v>
      </c>
      <c r="I112" s="260">
        <v>0</v>
      </c>
      <c r="J112" s="260"/>
      <c r="K112" s="260"/>
      <c r="L112" s="260"/>
      <c r="M112" s="260"/>
      <c r="N112" s="260"/>
      <c r="O112" s="14"/>
    </row>
    <row r="113" spans="1:15" s="74" customFormat="1" ht="36.75" customHeight="1" x14ac:dyDescent="0.25">
      <c r="A113" s="11" t="s">
        <v>181</v>
      </c>
      <c r="B113" s="11" t="s">
        <v>182</v>
      </c>
      <c r="C113" s="42"/>
      <c r="D113" s="43" t="s">
        <v>183</v>
      </c>
      <c r="E113" s="43" t="s">
        <v>183</v>
      </c>
      <c r="F113" s="43"/>
      <c r="G113" s="261">
        <f>G114</f>
        <v>0</v>
      </c>
      <c r="H113" s="261"/>
      <c r="I113" s="261"/>
      <c r="J113" s="261"/>
      <c r="K113" s="261">
        <f>K114</f>
        <v>5331.7</v>
      </c>
      <c r="L113" s="261">
        <f>L114</f>
        <v>1160</v>
      </c>
      <c r="M113" s="261">
        <f>M114</f>
        <v>141.92094</v>
      </c>
      <c r="N113" s="261">
        <f>M113/K113*100</f>
        <v>2.6618328112984604</v>
      </c>
      <c r="O113" s="14"/>
    </row>
    <row r="114" spans="1:15" s="224" customFormat="1" ht="51.75" customHeight="1" x14ac:dyDescent="0.25">
      <c r="A114" s="42">
        <v>4016021</v>
      </c>
      <c r="B114" s="42">
        <v>6021</v>
      </c>
      <c r="C114" s="42">
        <v>610</v>
      </c>
      <c r="D114" s="43" t="s">
        <v>184</v>
      </c>
      <c r="E114" s="43" t="s">
        <v>184</v>
      </c>
      <c r="F114" s="43" t="s">
        <v>290</v>
      </c>
      <c r="G114" s="260"/>
      <c r="H114" s="260"/>
      <c r="I114" s="260"/>
      <c r="J114" s="260"/>
      <c r="K114" s="260">
        <v>5331.7</v>
      </c>
      <c r="L114" s="260">
        <v>1160</v>
      </c>
      <c r="M114" s="260">
        <v>141.92094</v>
      </c>
      <c r="N114" s="260"/>
      <c r="O114" s="52"/>
    </row>
    <row r="115" spans="1:15" s="74" customFormat="1" ht="38.25" customHeight="1" x14ac:dyDescent="0.25">
      <c r="A115" s="11" t="s">
        <v>185</v>
      </c>
      <c r="B115" s="11" t="s">
        <v>186</v>
      </c>
      <c r="C115" s="42"/>
      <c r="D115" s="156" t="s">
        <v>187</v>
      </c>
      <c r="E115" s="41"/>
      <c r="F115" s="43"/>
      <c r="G115" s="261">
        <f>G116</f>
        <v>0</v>
      </c>
      <c r="H115" s="261"/>
      <c r="I115" s="261"/>
      <c r="J115" s="261"/>
      <c r="K115" s="261">
        <f>K116</f>
        <v>633</v>
      </c>
      <c r="L115" s="261">
        <f>L116</f>
        <v>0</v>
      </c>
      <c r="M115" s="261">
        <f>M116</f>
        <v>0</v>
      </c>
      <c r="N115" s="261">
        <f>M115/K115*100</f>
        <v>0</v>
      </c>
      <c r="O115" s="14"/>
    </row>
    <row r="116" spans="1:15" s="74" customFormat="1" ht="66" customHeight="1" x14ac:dyDescent="0.25">
      <c r="A116" s="11" t="s">
        <v>188</v>
      </c>
      <c r="B116" s="11" t="s">
        <v>189</v>
      </c>
      <c r="C116" s="11" t="s">
        <v>190</v>
      </c>
      <c r="D116" s="43" t="s">
        <v>191</v>
      </c>
      <c r="E116" s="41"/>
      <c r="F116" s="43" t="s">
        <v>264</v>
      </c>
      <c r="G116" s="260"/>
      <c r="H116" s="260"/>
      <c r="I116" s="260"/>
      <c r="J116" s="260"/>
      <c r="K116" s="260">
        <v>633</v>
      </c>
      <c r="L116" s="260">
        <v>0</v>
      </c>
      <c r="M116" s="260">
        <v>0</v>
      </c>
      <c r="N116" s="260"/>
      <c r="O116" s="14"/>
    </row>
    <row r="117" spans="1:15" s="74" customFormat="1" ht="23.25" customHeight="1" x14ac:dyDescent="0.25">
      <c r="A117" s="42">
        <v>4016060</v>
      </c>
      <c r="B117" s="42">
        <v>6060</v>
      </c>
      <c r="C117" s="42">
        <v>620</v>
      </c>
      <c r="D117" s="43" t="s">
        <v>192</v>
      </c>
      <c r="E117" s="41"/>
      <c r="F117" s="43"/>
      <c r="G117" s="257">
        <f>SUM(G118:G126)</f>
        <v>15902.55</v>
      </c>
      <c r="H117" s="257">
        <f>SUM(H118:H126)</f>
        <v>5986.6310000000003</v>
      </c>
      <c r="I117" s="257">
        <f>SUM(I118:I126)</f>
        <v>4462.6988200000005</v>
      </c>
      <c r="J117" s="261">
        <f>I117/G117*100</f>
        <v>28.062787540363026</v>
      </c>
      <c r="K117" s="261">
        <f>SUM(K118:K129)</f>
        <v>1997</v>
      </c>
      <c r="L117" s="261">
        <f t="shared" ref="L117:N117" si="10">SUM(L118:L129)</f>
        <v>1097</v>
      </c>
      <c r="M117" s="261">
        <f t="shared" si="10"/>
        <v>322.2</v>
      </c>
      <c r="N117" s="261">
        <f t="shared" si="10"/>
        <v>0.84789473684210526</v>
      </c>
      <c r="O117" s="14"/>
    </row>
    <row r="118" spans="1:15" s="74" customFormat="1" ht="51" customHeight="1" x14ac:dyDescent="0.25">
      <c r="A118" s="42"/>
      <c r="B118" s="42"/>
      <c r="C118" s="42"/>
      <c r="D118" s="80" t="s">
        <v>178</v>
      </c>
      <c r="E118" s="41"/>
      <c r="F118" s="43" t="s">
        <v>275</v>
      </c>
      <c r="G118" s="260">
        <v>10383.85</v>
      </c>
      <c r="H118" s="260">
        <f>2023.988+1499.032-236.3</f>
        <v>3286.72</v>
      </c>
      <c r="I118" s="260">
        <v>2702.181</v>
      </c>
      <c r="J118" s="260"/>
      <c r="K118" s="260"/>
      <c r="L118" s="260"/>
      <c r="M118" s="260"/>
      <c r="N118" s="260"/>
      <c r="O118" s="14"/>
    </row>
    <row r="119" spans="1:15" s="74" customFormat="1" ht="54.75" customHeight="1" x14ac:dyDescent="0.25">
      <c r="A119" s="42"/>
      <c r="B119" s="42"/>
      <c r="C119" s="42"/>
      <c r="D119" s="80"/>
      <c r="E119" s="41"/>
      <c r="F119" s="43" t="s">
        <v>302</v>
      </c>
      <c r="G119" s="260">
        <v>2313.4</v>
      </c>
      <c r="H119" s="260">
        <v>1759.1</v>
      </c>
      <c r="I119" s="260">
        <v>1010.06399</v>
      </c>
      <c r="J119" s="260"/>
      <c r="K119" s="260"/>
      <c r="L119" s="260"/>
      <c r="M119" s="260"/>
      <c r="N119" s="260"/>
      <c r="O119" s="14"/>
    </row>
    <row r="120" spans="1:15" s="74" customFormat="1" ht="56.25" customHeight="1" x14ac:dyDescent="0.25">
      <c r="A120" s="42"/>
      <c r="B120" s="42"/>
      <c r="C120" s="42"/>
      <c r="D120" s="80"/>
      <c r="E120" s="41"/>
      <c r="F120" s="43" t="s">
        <v>266</v>
      </c>
      <c r="G120" s="260">
        <v>2800</v>
      </c>
      <c r="H120" s="260">
        <v>910.51099999999997</v>
      </c>
      <c r="I120" s="260">
        <v>750.45383000000004</v>
      </c>
      <c r="J120" s="260"/>
      <c r="K120" s="260"/>
      <c r="L120" s="260"/>
      <c r="M120" s="260"/>
      <c r="N120" s="260"/>
      <c r="O120" s="14"/>
    </row>
    <row r="121" spans="1:15" s="74" customFormat="1" ht="94.5" customHeight="1" x14ac:dyDescent="0.25">
      <c r="A121" s="42"/>
      <c r="B121" s="42"/>
      <c r="C121" s="42"/>
      <c r="D121" s="43"/>
      <c r="E121" s="41"/>
      <c r="F121" s="43" t="s">
        <v>257</v>
      </c>
      <c r="G121" s="260">
        <v>100</v>
      </c>
      <c r="H121" s="260">
        <v>0</v>
      </c>
      <c r="I121" s="260">
        <v>0</v>
      </c>
      <c r="J121" s="260"/>
      <c r="K121" s="260"/>
      <c r="L121" s="260"/>
      <c r="M121" s="260"/>
      <c r="N121" s="260"/>
      <c r="O121" s="14"/>
    </row>
    <row r="122" spans="1:15" s="74" customFormat="1" ht="54" customHeight="1" x14ac:dyDescent="0.25">
      <c r="A122" s="42"/>
      <c r="B122" s="42"/>
      <c r="C122" s="42"/>
      <c r="D122" s="43"/>
      <c r="E122" s="41"/>
      <c r="F122" s="43" t="s">
        <v>391</v>
      </c>
      <c r="G122" s="260">
        <f>200+100</f>
        <v>300</v>
      </c>
      <c r="H122" s="260">
        <v>25</v>
      </c>
      <c r="I122" s="260">
        <v>0</v>
      </c>
      <c r="J122" s="260"/>
      <c r="K122" s="260"/>
      <c r="L122" s="260"/>
      <c r="M122" s="260"/>
      <c r="N122" s="260"/>
      <c r="O122" s="14"/>
    </row>
    <row r="123" spans="1:15" s="74" customFormat="1" ht="0.75" customHeight="1" x14ac:dyDescent="0.25">
      <c r="A123" s="42"/>
      <c r="B123" s="42"/>
      <c r="C123" s="42"/>
      <c r="D123" s="43"/>
      <c r="E123" s="41"/>
      <c r="F123" s="43" t="s">
        <v>332</v>
      </c>
      <c r="G123" s="260">
        <f>100-100</f>
        <v>0</v>
      </c>
      <c r="H123" s="260">
        <v>0</v>
      </c>
      <c r="I123" s="260">
        <v>0</v>
      </c>
      <c r="J123" s="260"/>
      <c r="K123" s="260"/>
      <c r="L123" s="260"/>
      <c r="M123" s="260"/>
      <c r="N123" s="260"/>
      <c r="O123" s="14"/>
    </row>
    <row r="124" spans="1:15" s="74" customFormat="1" ht="58.5" customHeight="1" x14ac:dyDescent="0.25">
      <c r="A124" s="42"/>
      <c r="B124" s="42"/>
      <c r="C124" s="42"/>
      <c r="D124" s="43"/>
      <c r="E124" s="41"/>
      <c r="F124" s="43" t="s">
        <v>333</v>
      </c>
      <c r="G124" s="260">
        <v>5.3</v>
      </c>
      <c r="H124" s="260">
        <v>5.3</v>
      </c>
      <c r="I124" s="260">
        <v>0</v>
      </c>
      <c r="J124" s="260"/>
      <c r="K124" s="260"/>
      <c r="L124" s="260"/>
      <c r="M124" s="260"/>
      <c r="N124" s="260"/>
      <c r="O124" s="14"/>
    </row>
    <row r="125" spans="1:15" s="74" customFormat="1" ht="51.75" customHeight="1" x14ac:dyDescent="0.25">
      <c r="A125" s="42"/>
      <c r="B125" s="42"/>
      <c r="C125" s="42"/>
      <c r="D125" s="43"/>
      <c r="E125" s="41"/>
      <c r="F125" s="43" t="s">
        <v>265</v>
      </c>
      <c r="G125" s="260"/>
      <c r="H125" s="260"/>
      <c r="I125" s="260"/>
      <c r="J125" s="260"/>
      <c r="K125" s="273">
        <v>380</v>
      </c>
      <c r="L125" s="273">
        <v>380</v>
      </c>
      <c r="M125" s="273">
        <v>322.2</v>
      </c>
      <c r="N125" s="273">
        <f>M125/K125</f>
        <v>0.84789473684210526</v>
      </c>
      <c r="O125" s="14"/>
    </row>
    <row r="126" spans="1:15" s="74" customFormat="1" ht="69.75" customHeight="1" x14ac:dyDescent="0.25">
      <c r="A126" s="42"/>
      <c r="B126" s="42"/>
      <c r="C126" s="42"/>
      <c r="D126" s="43"/>
      <c r="E126" s="41"/>
      <c r="F126" s="43" t="s">
        <v>193</v>
      </c>
      <c r="G126" s="260"/>
      <c r="H126" s="260"/>
      <c r="I126" s="260"/>
      <c r="J126" s="260"/>
      <c r="K126" s="273">
        <v>1000</v>
      </c>
      <c r="L126" s="273">
        <v>100</v>
      </c>
      <c r="M126" s="273">
        <v>0</v>
      </c>
      <c r="N126" s="273">
        <f>M126/K126</f>
        <v>0</v>
      </c>
      <c r="O126" s="14"/>
    </row>
    <row r="127" spans="1:15" s="74" customFormat="1" ht="54.75" customHeight="1" x14ac:dyDescent="0.25">
      <c r="A127" s="42"/>
      <c r="B127" s="42"/>
      <c r="C127" s="42"/>
      <c r="D127" s="43"/>
      <c r="E127" s="41"/>
      <c r="F127" s="43" t="s">
        <v>334</v>
      </c>
      <c r="G127" s="260"/>
      <c r="H127" s="260"/>
      <c r="I127" s="260"/>
      <c r="J127" s="260"/>
      <c r="K127" s="273">
        <v>100</v>
      </c>
      <c r="L127" s="273">
        <v>100</v>
      </c>
      <c r="M127" s="273">
        <v>0</v>
      </c>
      <c r="N127" s="273">
        <v>0</v>
      </c>
      <c r="O127" s="14"/>
    </row>
    <row r="128" spans="1:15" s="74" customFormat="1" ht="39.75" customHeight="1" x14ac:dyDescent="0.25">
      <c r="A128" s="42"/>
      <c r="B128" s="42"/>
      <c r="C128" s="42"/>
      <c r="D128" s="43"/>
      <c r="E128" s="41"/>
      <c r="F128" s="43" t="s">
        <v>335</v>
      </c>
      <c r="G128" s="260"/>
      <c r="H128" s="260"/>
      <c r="I128" s="260"/>
      <c r="J128" s="260"/>
      <c r="K128" s="273">
        <v>88</v>
      </c>
      <c r="L128" s="273">
        <v>88</v>
      </c>
      <c r="M128" s="273">
        <v>0</v>
      </c>
      <c r="N128" s="273">
        <v>0</v>
      </c>
      <c r="O128" s="14"/>
    </row>
    <row r="129" spans="1:15" s="74" customFormat="1" ht="36" customHeight="1" x14ac:dyDescent="0.25">
      <c r="A129" s="42"/>
      <c r="B129" s="42"/>
      <c r="C129" s="42"/>
      <c r="D129" s="43"/>
      <c r="E129" s="41"/>
      <c r="F129" s="43" t="s">
        <v>336</v>
      </c>
      <c r="G129" s="260"/>
      <c r="H129" s="260"/>
      <c r="I129" s="260"/>
      <c r="J129" s="260"/>
      <c r="K129" s="273">
        <v>429</v>
      </c>
      <c r="L129" s="273">
        <v>429</v>
      </c>
      <c r="M129" s="273">
        <v>0</v>
      </c>
      <c r="N129" s="273">
        <v>0</v>
      </c>
      <c r="O129" s="14"/>
    </row>
    <row r="130" spans="1:15" s="74" customFormat="1" ht="41.25" customHeight="1" x14ac:dyDescent="0.25">
      <c r="A130" s="42">
        <v>4017420</v>
      </c>
      <c r="B130" s="42">
        <v>7420</v>
      </c>
      <c r="C130" s="42">
        <v>490</v>
      </c>
      <c r="D130" s="43" t="s">
        <v>194</v>
      </c>
      <c r="E130" s="41"/>
      <c r="F130" s="43"/>
      <c r="G130" s="260">
        <f>SUM(G131:G134)</f>
        <v>151.69999999999999</v>
      </c>
      <c r="H130" s="260">
        <f t="shared" ref="H130:I130" si="11">SUM(H131:H134)</f>
        <v>47.1</v>
      </c>
      <c r="I130" s="260">
        <f t="shared" si="11"/>
        <v>29.18</v>
      </c>
      <c r="J130" s="260">
        <f>I130/G130*100</f>
        <v>19.235332893869479</v>
      </c>
      <c r="K130" s="260">
        <f>SUM(K131:K135)</f>
        <v>192</v>
      </c>
      <c r="L130" s="260">
        <f>SUM(L131:L135)</f>
        <v>42</v>
      </c>
      <c r="M130" s="260">
        <f>SUM(M131:M135)</f>
        <v>42</v>
      </c>
      <c r="N130" s="260">
        <f>M130/K130*100</f>
        <v>21.875</v>
      </c>
      <c r="O130" s="14"/>
    </row>
    <row r="131" spans="1:15" s="74" customFormat="1" ht="102" customHeight="1" x14ac:dyDescent="0.25">
      <c r="A131" s="42"/>
      <c r="B131" s="42"/>
      <c r="C131" s="42"/>
      <c r="D131" s="80" t="s">
        <v>178</v>
      </c>
      <c r="E131" s="41"/>
      <c r="F131" s="43" t="s">
        <v>384</v>
      </c>
      <c r="G131" s="260">
        <v>104.6</v>
      </c>
      <c r="H131" s="260">
        <v>0</v>
      </c>
      <c r="I131" s="260">
        <v>0</v>
      </c>
      <c r="J131" s="260"/>
      <c r="K131" s="260"/>
      <c r="L131" s="260"/>
      <c r="M131" s="260"/>
      <c r="N131" s="260"/>
      <c r="O131" s="14"/>
    </row>
    <row r="132" spans="1:15" s="74" customFormat="1" ht="62.25" customHeight="1" x14ac:dyDescent="0.25">
      <c r="A132" s="42"/>
      <c r="B132" s="42"/>
      <c r="C132" s="42"/>
      <c r="D132" s="80"/>
      <c r="E132" s="41"/>
      <c r="F132" s="43" t="s">
        <v>372</v>
      </c>
      <c r="G132" s="260">
        <v>34.6</v>
      </c>
      <c r="H132" s="260">
        <f>29.2+5.4</f>
        <v>34.6</v>
      </c>
      <c r="I132" s="260">
        <v>29.18</v>
      </c>
      <c r="J132" s="260"/>
      <c r="K132" s="260"/>
      <c r="L132" s="260"/>
      <c r="M132" s="260"/>
      <c r="N132" s="260"/>
      <c r="O132" s="14"/>
    </row>
    <row r="133" spans="1:15" s="74" customFormat="1" ht="69.75" customHeight="1" x14ac:dyDescent="0.25">
      <c r="A133" s="42"/>
      <c r="B133" s="42"/>
      <c r="C133" s="42"/>
      <c r="D133" s="80"/>
      <c r="E133" s="41"/>
      <c r="F133" s="43" t="s">
        <v>373</v>
      </c>
      <c r="G133" s="260">
        <v>12.5</v>
      </c>
      <c r="H133" s="260">
        <v>12.5</v>
      </c>
      <c r="I133" s="260">
        <v>0</v>
      </c>
      <c r="J133" s="260"/>
      <c r="K133" s="260"/>
      <c r="L133" s="260"/>
      <c r="M133" s="260"/>
      <c r="N133" s="260"/>
      <c r="O133" s="14"/>
    </row>
    <row r="134" spans="1:15" s="74" customFormat="1" ht="52.5" customHeight="1" x14ac:dyDescent="0.25">
      <c r="A134" s="42"/>
      <c r="B134" s="42"/>
      <c r="C134" s="42"/>
      <c r="D134" s="43"/>
      <c r="E134" s="41"/>
      <c r="F134" s="43" t="s">
        <v>338</v>
      </c>
      <c r="G134" s="260"/>
      <c r="H134" s="260"/>
      <c r="I134" s="260"/>
      <c r="J134" s="260"/>
      <c r="K134" s="260">
        <v>42</v>
      </c>
      <c r="L134" s="260">
        <v>42</v>
      </c>
      <c r="M134" s="260">
        <v>42</v>
      </c>
      <c r="N134" s="260"/>
      <c r="O134" s="14"/>
    </row>
    <row r="135" spans="1:15" s="74" customFormat="1" ht="73.5" customHeight="1" x14ac:dyDescent="0.25">
      <c r="A135" s="42"/>
      <c r="B135" s="42"/>
      <c r="C135" s="42"/>
      <c r="D135" s="43"/>
      <c r="E135" s="41"/>
      <c r="F135" s="43" t="s">
        <v>337</v>
      </c>
      <c r="G135" s="260"/>
      <c r="H135" s="260"/>
      <c r="I135" s="260"/>
      <c r="J135" s="260"/>
      <c r="K135" s="260">
        <v>150</v>
      </c>
      <c r="L135" s="260">
        <v>0</v>
      </c>
      <c r="M135" s="260">
        <v>0</v>
      </c>
      <c r="N135" s="260"/>
      <c r="O135" s="14"/>
    </row>
    <row r="136" spans="1:15" s="74" customFormat="1" ht="86.25" customHeight="1" x14ac:dyDescent="0.25">
      <c r="A136" s="42">
        <v>4019181</v>
      </c>
      <c r="B136" s="24" t="s">
        <v>313</v>
      </c>
      <c r="C136" s="24" t="s">
        <v>30</v>
      </c>
      <c r="D136" s="43" t="s">
        <v>314</v>
      </c>
      <c r="E136" s="41"/>
      <c r="F136" s="88" t="s">
        <v>315</v>
      </c>
      <c r="G136" s="260"/>
      <c r="H136" s="260"/>
      <c r="I136" s="260"/>
      <c r="J136" s="260"/>
      <c r="K136" s="260">
        <v>127.292</v>
      </c>
      <c r="L136" s="260">
        <v>127.292</v>
      </c>
      <c r="M136" s="260">
        <v>127.292</v>
      </c>
      <c r="N136" s="260"/>
      <c r="O136" s="14"/>
    </row>
    <row r="137" spans="1:15" s="10" customFormat="1" ht="70.5" customHeight="1" x14ac:dyDescent="0.25">
      <c r="A137" s="24"/>
      <c r="B137" s="77"/>
      <c r="C137" s="77"/>
      <c r="D137" s="81"/>
      <c r="E137" s="44"/>
      <c r="F137" s="215" t="s">
        <v>195</v>
      </c>
      <c r="G137" s="270">
        <f>G139</f>
        <v>0</v>
      </c>
      <c r="H137" s="270"/>
      <c r="I137" s="270"/>
      <c r="J137" s="270"/>
      <c r="K137" s="270">
        <f>K138+K139+K141+K142+K147+K150+K144+K140</f>
        <v>25374.171999999999</v>
      </c>
      <c r="L137" s="270">
        <f>L138+L139+L141+L142+L147+L150+L144+L140</f>
        <v>9097.8719999999994</v>
      </c>
      <c r="M137" s="270">
        <f>M138+M139+M141+M142+M147+M150+M144+M140</f>
        <v>317.91772000000003</v>
      </c>
      <c r="N137" s="270">
        <f>N138+N139+N141+N142+N147+N150+N143+N145+N146</f>
        <v>0</v>
      </c>
      <c r="O137" s="27"/>
    </row>
    <row r="138" spans="1:15" s="71" customFormat="1" ht="84" customHeight="1" x14ac:dyDescent="0.25">
      <c r="A138" s="11" t="s">
        <v>316</v>
      </c>
      <c r="B138" s="11" t="s">
        <v>317</v>
      </c>
      <c r="C138" s="21" t="s">
        <v>190</v>
      </c>
      <c r="D138" s="156" t="s">
        <v>318</v>
      </c>
      <c r="E138" s="44"/>
      <c r="F138" s="43" t="s">
        <v>319</v>
      </c>
      <c r="G138" s="261"/>
      <c r="H138" s="261"/>
      <c r="I138" s="261"/>
      <c r="J138" s="261"/>
      <c r="K138" s="260">
        <v>100</v>
      </c>
      <c r="L138" s="260">
        <v>100</v>
      </c>
      <c r="M138" s="260">
        <v>0</v>
      </c>
      <c r="N138" s="261"/>
      <c r="O138" s="70"/>
    </row>
    <row r="139" spans="1:15" s="71" customFormat="1" ht="39.75" customHeight="1" x14ac:dyDescent="0.25">
      <c r="A139" s="11" t="s">
        <v>196</v>
      </c>
      <c r="B139" s="11" t="s">
        <v>36</v>
      </c>
      <c r="C139" s="24" t="s">
        <v>37</v>
      </c>
      <c r="D139" s="67" t="s">
        <v>197</v>
      </c>
      <c r="E139" s="67" t="s">
        <v>197</v>
      </c>
      <c r="F139" s="67" t="s">
        <v>260</v>
      </c>
      <c r="G139" s="260"/>
      <c r="H139" s="260"/>
      <c r="I139" s="260"/>
      <c r="J139" s="260"/>
      <c r="K139" s="260">
        <v>15331.572</v>
      </c>
      <c r="L139" s="260">
        <v>5911.2719999999999</v>
      </c>
      <c r="M139" s="260">
        <v>29.008659999999999</v>
      </c>
      <c r="N139" s="260"/>
      <c r="O139" s="70"/>
    </row>
    <row r="140" spans="1:15" s="71" customFormat="1" ht="99.75" customHeight="1" x14ac:dyDescent="0.25">
      <c r="A140" s="11" t="s">
        <v>363</v>
      </c>
      <c r="B140" s="11" t="s">
        <v>364</v>
      </c>
      <c r="C140" s="24" t="s">
        <v>211</v>
      </c>
      <c r="D140" s="67" t="s">
        <v>362</v>
      </c>
      <c r="E140" s="67"/>
      <c r="F140" s="67" t="s">
        <v>365</v>
      </c>
      <c r="G140" s="260"/>
      <c r="H140" s="260"/>
      <c r="I140" s="260"/>
      <c r="J140" s="260"/>
      <c r="K140" s="260">
        <v>395</v>
      </c>
      <c r="L140" s="260">
        <v>100</v>
      </c>
      <c r="M140" s="260">
        <v>0</v>
      </c>
      <c r="N140" s="260"/>
      <c r="O140" s="70"/>
    </row>
    <row r="141" spans="1:15" s="10" customFormat="1" ht="51" customHeight="1" x14ac:dyDescent="0.25">
      <c r="A141" s="82" t="s">
        <v>198</v>
      </c>
      <c r="B141" s="82" t="s">
        <v>199</v>
      </c>
      <c r="C141" s="82" t="s">
        <v>190</v>
      </c>
      <c r="D141" s="67" t="s">
        <v>192</v>
      </c>
      <c r="E141" s="44"/>
      <c r="F141" s="45" t="s">
        <v>261</v>
      </c>
      <c r="G141" s="260">
        <v>0</v>
      </c>
      <c r="H141" s="260"/>
      <c r="I141" s="260"/>
      <c r="J141" s="260"/>
      <c r="K141" s="260">
        <v>37.9</v>
      </c>
      <c r="L141" s="260">
        <v>0</v>
      </c>
      <c r="M141" s="260">
        <v>0</v>
      </c>
      <c r="N141" s="260"/>
      <c r="O141" s="27"/>
    </row>
    <row r="142" spans="1:15" s="10" customFormat="1" ht="36" customHeight="1" x14ac:dyDescent="0.25">
      <c r="A142" s="82" t="s">
        <v>181</v>
      </c>
      <c r="B142" s="82" t="s">
        <v>182</v>
      </c>
      <c r="C142" s="82" t="s">
        <v>200</v>
      </c>
      <c r="D142" s="67" t="s">
        <v>183</v>
      </c>
      <c r="E142" s="67" t="s">
        <v>183</v>
      </c>
      <c r="F142" s="45"/>
      <c r="G142" s="260">
        <f>G143</f>
        <v>0</v>
      </c>
      <c r="H142" s="260"/>
      <c r="I142" s="260"/>
      <c r="J142" s="260"/>
      <c r="K142" s="260">
        <f>K143</f>
        <v>20</v>
      </c>
      <c r="L142" s="260">
        <f>L143</f>
        <v>5</v>
      </c>
      <c r="M142" s="260">
        <f>M143</f>
        <v>2.52128</v>
      </c>
      <c r="N142" s="260"/>
      <c r="O142" s="27"/>
    </row>
    <row r="143" spans="1:15" s="71" customFormat="1" ht="37.5" customHeight="1" x14ac:dyDescent="0.25">
      <c r="A143" s="83" t="s">
        <v>201</v>
      </c>
      <c r="B143" s="83" t="s">
        <v>202</v>
      </c>
      <c r="C143" s="83" t="s">
        <v>203</v>
      </c>
      <c r="D143" s="84" t="s">
        <v>184</v>
      </c>
      <c r="E143" s="44"/>
      <c r="F143" s="45" t="s">
        <v>262</v>
      </c>
      <c r="G143" s="260"/>
      <c r="H143" s="260"/>
      <c r="I143" s="260"/>
      <c r="J143" s="260"/>
      <c r="K143" s="260">
        <v>20</v>
      </c>
      <c r="L143" s="260">
        <v>5</v>
      </c>
      <c r="M143" s="260">
        <v>2.52128</v>
      </c>
      <c r="N143" s="260"/>
      <c r="O143" s="70"/>
    </row>
    <row r="144" spans="1:15" s="232" customFormat="1" ht="48" customHeight="1" x14ac:dyDescent="0.25">
      <c r="A144" s="230" t="s">
        <v>216</v>
      </c>
      <c r="B144" s="230" t="s">
        <v>217</v>
      </c>
      <c r="C144" s="230" t="s">
        <v>37</v>
      </c>
      <c r="D144" s="211" t="s">
        <v>194</v>
      </c>
      <c r="E144" s="214"/>
      <c r="F144" s="215" t="s">
        <v>346</v>
      </c>
      <c r="G144" s="271"/>
      <c r="H144" s="271"/>
      <c r="I144" s="271"/>
      <c r="J144" s="271"/>
      <c r="K144" s="271">
        <f>K145+K146</f>
        <v>825</v>
      </c>
      <c r="L144" s="271">
        <f>L145+L146</f>
        <v>825</v>
      </c>
      <c r="M144" s="271">
        <f>M145+M146</f>
        <v>214.61508000000003</v>
      </c>
      <c r="N144" s="271">
        <f>M144/K144*100</f>
        <v>26.013949090909094</v>
      </c>
      <c r="O144" s="231"/>
    </row>
    <row r="145" spans="1:15" s="71" customFormat="1" ht="53.25" customHeight="1" x14ac:dyDescent="0.25">
      <c r="A145" s="83"/>
      <c r="B145" s="83"/>
      <c r="C145" s="83"/>
      <c r="D145" s="229"/>
      <c r="E145" s="44"/>
      <c r="F145" s="45" t="s">
        <v>339</v>
      </c>
      <c r="G145" s="260"/>
      <c r="H145" s="260"/>
      <c r="I145" s="260"/>
      <c r="J145" s="260"/>
      <c r="K145" s="260">
        <v>325</v>
      </c>
      <c r="L145" s="260">
        <v>325</v>
      </c>
      <c r="M145" s="260">
        <v>85.161240000000006</v>
      </c>
      <c r="N145" s="260"/>
      <c r="O145" s="70"/>
    </row>
    <row r="146" spans="1:15" s="71" customFormat="1" ht="53.25" customHeight="1" x14ac:dyDescent="0.25">
      <c r="A146" s="83"/>
      <c r="B146" s="83"/>
      <c r="C146" s="83"/>
      <c r="D146" s="229"/>
      <c r="E146" s="44"/>
      <c r="F146" s="45" t="s">
        <v>340</v>
      </c>
      <c r="G146" s="260"/>
      <c r="H146" s="260"/>
      <c r="I146" s="260"/>
      <c r="J146" s="260"/>
      <c r="K146" s="260">
        <v>500</v>
      </c>
      <c r="L146" s="260">
        <v>500</v>
      </c>
      <c r="M146" s="260">
        <v>129.45384000000001</v>
      </c>
      <c r="N146" s="260"/>
      <c r="O146" s="70"/>
    </row>
    <row r="147" spans="1:15" s="10" customFormat="1" ht="29.25" customHeight="1" x14ac:dyDescent="0.25">
      <c r="A147" s="82" t="s">
        <v>204</v>
      </c>
      <c r="B147" s="82" t="s">
        <v>128</v>
      </c>
      <c r="C147" s="82" t="s">
        <v>205</v>
      </c>
      <c r="D147" s="213" t="s">
        <v>206</v>
      </c>
      <c r="E147" s="214"/>
      <c r="F147" s="215"/>
      <c r="G147" s="271">
        <f>SUM(G148:G149)</f>
        <v>0</v>
      </c>
      <c r="H147" s="271"/>
      <c r="I147" s="271"/>
      <c r="J147" s="271"/>
      <c r="K147" s="271">
        <f>SUM(K148:K149)</f>
        <v>1936.3999999999999</v>
      </c>
      <c r="L147" s="271">
        <f>SUM(L148:L149)</f>
        <v>128.30000000000001</v>
      </c>
      <c r="M147" s="271">
        <f>SUM(M148:M149)</f>
        <v>29.399699999999999</v>
      </c>
      <c r="N147" s="271"/>
      <c r="O147" s="27"/>
    </row>
    <row r="148" spans="1:15" s="71" customFormat="1" ht="105.75" customHeight="1" x14ac:dyDescent="0.25">
      <c r="A148" s="83"/>
      <c r="B148" s="83"/>
      <c r="C148" s="83"/>
      <c r="D148" s="81" t="s">
        <v>178</v>
      </c>
      <c r="E148" s="67" t="s">
        <v>207</v>
      </c>
      <c r="F148" s="67" t="s">
        <v>378</v>
      </c>
      <c r="G148" s="260"/>
      <c r="H148" s="260"/>
      <c r="I148" s="260"/>
      <c r="J148" s="260"/>
      <c r="K148" s="273">
        <v>1908.1</v>
      </c>
      <c r="L148" s="273">
        <v>100</v>
      </c>
      <c r="M148" s="273">
        <v>29.399699999999999</v>
      </c>
      <c r="N148" s="273"/>
      <c r="O148" s="70"/>
    </row>
    <row r="149" spans="1:15" s="71" customFormat="1" ht="56.25" customHeight="1" x14ac:dyDescent="0.25">
      <c r="A149" s="83"/>
      <c r="B149" s="83"/>
      <c r="C149" s="83"/>
      <c r="D149" s="81"/>
      <c r="E149" s="67" t="s">
        <v>208</v>
      </c>
      <c r="F149" s="67" t="s">
        <v>208</v>
      </c>
      <c r="G149" s="260"/>
      <c r="H149" s="260"/>
      <c r="I149" s="260"/>
      <c r="J149" s="260"/>
      <c r="K149" s="273">
        <v>28.3</v>
      </c>
      <c r="L149" s="273">
        <v>28.3</v>
      </c>
      <c r="M149" s="273">
        <v>0</v>
      </c>
      <c r="N149" s="273"/>
      <c r="O149" s="70"/>
    </row>
    <row r="150" spans="1:15" s="10" customFormat="1" ht="100.5" customHeight="1" x14ac:dyDescent="0.25">
      <c r="A150" s="82" t="s">
        <v>209</v>
      </c>
      <c r="B150" s="82" t="s">
        <v>210</v>
      </c>
      <c r="C150" s="82" t="s">
        <v>211</v>
      </c>
      <c r="D150" s="67" t="s">
        <v>212</v>
      </c>
      <c r="E150" s="67"/>
      <c r="F150" s="211"/>
      <c r="G150" s="271">
        <f>SUM(G151:G153)</f>
        <v>0</v>
      </c>
      <c r="H150" s="271"/>
      <c r="I150" s="271"/>
      <c r="J150" s="271"/>
      <c r="K150" s="271">
        <f>SUM(K151:K153)</f>
        <v>6728.3</v>
      </c>
      <c r="L150" s="271">
        <f>SUM(L151:L153)</f>
        <v>2028.3</v>
      </c>
      <c r="M150" s="271">
        <f>SUM(M151:M153)</f>
        <v>42.373000000000005</v>
      </c>
      <c r="N150" s="271"/>
      <c r="O150" s="27"/>
    </row>
    <row r="151" spans="1:15" s="71" customFormat="1" ht="93" customHeight="1" x14ac:dyDescent="0.25">
      <c r="A151" s="83"/>
      <c r="B151" s="83"/>
      <c r="C151" s="83"/>
      <c r="D151" s="81" t="s">
        <v>178</v>
      </c>
      <c r="E151" s="67" t="s">
        <v>213</v>
      </c>
      <c r="F151" s="67" t="s">
        <v>379</v>
      </c>
      <c r="G151" s="260"/>
      <c r="H151" s="260"/>
      <c r="I151" s="260"/>
      <c r="J151" s="260"/>
      <c r="K151" s="273">
        <v>3230.2</v>
      </c>
      <c r="L151" s="273">
        <v>1000</v>
      </c>
      <c r="M151" s="273">
        <v>19.032</v>
      </c>
      <c r="N151" s="273"/>
      <c r="O151" s="70"/>
    </row>
    <row r="152" spans="1:15" s="71" customFormat="1" ht="104.25" customHeight="1" x14ac:dyDescent="0.25">
      <c r="A152" s="83"/>
      <c r="B152" s="83"/>
      <c r="C152" s="83"/>
      <c r="D152" s="81"/>
      <c r="E152" s="67"/>
      <c r="F152" s="67" t="s">
        <v>380</v>
      </c>
      <c r="G152" s="260"/>
      <c r="H152" s="260"/>
      <c r="I152" s="260"/>
      <c r="J152" s="260"/>
      <c r="K152" s="273">
        <v>3469.8</v>
      </c>
      <c r="L152" s="273">
        <v>1000</v>
      </c>
      <c r="M152" s="273">
        <v>23.341000000000001</v>
      </c>
      <c r="N152" s="273"/>
      <c r="O152" s="70"/>
    </row>
    <row r="153" spans="1:15" s="71" customFormat="1" ht="53.25" customHeight="1" x14ac:dyDescent="0.25">
      <c r="A153" s="83"/>
      <c r="B153" s="83"/>
      <c r="C153" s="83"/>
      <c r="D153" s="67"/>
      <c r="E153" s="67" t="s">
        <v>214</v>
      </c>
      <c r="F153" s="67" t="s">
        <v>214</v>
      </c>
      <c r="G153" s="260"/>
      <c r="H153" s="260"/>
      <c r="I153" s="260"/>
      <c r="J153" s="260"/>
      <c r="K153" s="273">
        <v>28.3</v>
      </c>
      <c r="L153" s="273">
        <v>28.3</v>
      </c>
      <c r="M153" s="273"/>
      <c r="N153" s="273"/>
      <c r="O153" s="70"/>
    </row>
    <row r="154" spans="1:15" s="65" customFormat="1" ht="65.25" customHeight="1" x14ac:dyDescent="0.25">
      <c r="A154" s="21"/>
      <c r="B154" s="42"/>
      <c r="C154" s="42"/>
      <c r="D154" s="43"/>
      <c r="E154" s="43"/>
      <c r="F154" s="215" t="s">
        <v>215</v>
      </c>
      <c r="G154" s="270">
        <f>G155</f>
        <v>3289.3619999999996</v>
      </c>
      <c r="H154" s="270">
        <f>H155</f>
        <v>2888</v>
      </c>
      <c r="I154" s="270">
        <f>I155</f>
        <v>2775.4031199999995</v>
      </c>
      <c r="J154" s="270">
        <f>I154/G154*100</f>
        <v>84.375119552059033</v>
      </c>
      <c r="K154" s="270"/>
      <c r="L154" s="270"/>
      <c r="M154" s="270"/>
      <c r="N154" s="270"/>
      <c r="O154" s="14"/>
    </row>
    <row r="155" spans="1:15" s="10" customFormat="1" ht="34.5" customHeight="1" x14ac:dyDescent="0.25">
      <c r="A155" s="11" t="s">
        <v>216</v>
      </c>
      <c r="B155" s="11" t="s">
        <v>217</v>
      </c>
      <c r="C155" s="42">
        <v>490</v>
      </c>
      <c r="D155" s="43" t="s">
        <v>194</v>
      </c>
      <c r="E155" s="44"/>
      <c r="F155" s="63"/>
      <c r="G155" s="260">
        <f>SUM(G156:G161)</f>
        <v>3289.3619999999996</v>
      </c>
      <c r="H155" s="260">
        <f>SUM(H156:H161)</f>
        <v>2888</v>
      </c>
      <c r="I155" s="260">
        <f>SUM(I156:I161)</f>
        <v>2775.4031199999995</v>
      </c>
      <c r="J155" s="260"/>
      <c r="K155" s="260">
        <f>SUM(K156:K157)</f>
        <v>0</v>
      </c>
      <c r="L155" s="260"/>
      <c r="M155" s="260"/>
      <c r="N155" s="260"/>
      <c r="O155" s="27"/>
    </row>
    <row r="156" spans="1:15" s="10" customFormat="1" ht="97.5" customHeight="1" x14ac:dyDescent="0.25">
      <c r="A156" s="11"/>
      <c r="B156" s="11"/>
      <c r="C156" s="42"/>
      <c r="D156" s="80" t="s">
        <v>178</v>
      </c>
      <c r="E156" s="44"/>
      <c r="F156" s="45" t="s">
        <v>366</v>
      </c>
      <c r="G156" s="260">
        <v>78.2</v>
      </c>
      <c r="H156" s="260">
        <f>16.2+11.8</f>
        <v>28</v>
      </c>
      <c r="I156" s="260">
        <f>15.493+1.58549</f>
        <v>17.078490000000002</v>
      </c>
      <c r="J156" s="260"/>
      <c r="K156" s="260"/>
      <c r="L156" s="260"/>
      <c r="M156" s="260"/>
      <c r="N156" s="260"/>
      <c r="O156" s="27"/>
    </row>
    <row r="157" spans="1:15" s="10" customFormat="1" ht="102" customHeight="1" x14ac:dyDescent="0.25">
      <c r="A157" s="11"/>
      <c r="B157" s="11"/>
      <c r="C157" s="42"/>
      <c r="D157" s="43"/>
      <c r="E157" s="44"/>
      <c r="F157" s="16" t="s">
        <v>276</v>
      </c>
      <c r="G157" s="260">
        <v>2420</v>
      </c>
      <c r="H157" s="260">
        <v>2420</v>
      </c>
      <c r="I157" s="260">
        <v>2420</v>
      </c>
      <c r="J157" s="260"/>
      <c r="K157" s="260"/>
      <c r="L157" s="260"/>
      <c r="M157" s="260"/>
      <c r="N157" s="260"/>
      <c r="O157" s="27"/>
    </row>
    <row r="158" spans="1:15" s="10" customFormat="1" ht="87" customHeight="1" x14ac:dyDescent="0.25">
      <c r="A158" s="11"/>
      <c r="B158" s="11"/>
      <c r="C158" s="42"/>
      <c r="D158" s="43"/>
      <c r="E158" s="44"/>
      <c r="F158" s="16" t="s">
        <v>385</v>
      </c>
      <c r="G158" s="260">
        <v>251.16200000000001</v>
      </c>
      <c r="H158" s="260">
        <v>0</v>
      </c>
      <c r="I158" s="260">
        <v>0</v>
      </c>
      <c r="J158" s="260"/>
      <c r="K158" s="260"/>
      <c r="L158" s="260"/>
      <c r="M158" s="260"/>
      <c r="N158" s="260"/>
      <c r="O158" s="27"/>
    </row>
    <row r="159" spans="1:15" s="10" customFormat="1" ht="87" customHeight="1" x14ac:dyDescent="0.25">
      <c r="A159" s="11"/>
      <c r="B159" s="11"/>
      <c r="C159" s="42"/>
      <c r="D159" s="43"/>
      <c r="E159" s="44"/>
      <c r="F159" s="16" t="s">
        <v>386</v>
      </c>
      <c r="G159" s="260">
        <v>195</v>
      </c>
      <c r="H159" s="260">
        <v>195</v>
      </c>
      <c r="I159" s="260">
        <v>194.98099999999999</v>
      </c>
      <c r="J159" s="260"/>
      <c r="K159" s="260"/>
      <c r="L159" s="260"/>
      <c r="M159" s="260"/>
      <c r="N159" s="260"/>
      <c r="O159" s="27"/>
    </row>
    <row r="160" spans="1:15" s="10" customFormat="1" ht="121.5" customHeight="1" x14ac:dyDescent="0.25">
      <c r="A160" s="11"/>
      <c r="B160" s="11"/>
      <c r="C160" s="42"/>
      <c r="D160" s="43"/>
      <c r="E160" s="44"/>
      <c r="F160" s="16" t="s">
        <v>343</v>
      </c>
      <c r="G160" s="260">
        <v>195</v>
      </c>
      <c r="H160" s="260">
        <v>195</v>
      </c>
      <c r="I160" s="260">
        <f>58.2+35.25077</f>
        <v>93.450770000000006</v>
      </c>
      <c r="J160" s="260"/>
      <c r="K160" s="260"/>
      <c r="L160" s="260"/>
      <c r="M160" s="260"/>
      <c r="N160" s="260"/>
      <c r="O160" s="27"/>
    </row>
    <row r="161" spans="1:15" s="10" customFormat="1" ht="79.5" customHeight="1" x14ac:dyDescent="0.25">
      <c r="A161" s="11"/>
      <c r="B161" s="11"/>
      <c r="C161" s="42"/>
      <c r="D161" s="43"/>
      <c r="E161" s="44"/>
      <c r="F161" s="16" t="s">
        <v>387</v>
      </c>
      <c r="G161" s="260">
        <v>150</v>
      </c>
      <c r="H161" s="260">
        <v>50</v>
      </c>
      <c r="I161" s="260">
        <v>49.892859999999999</v>
      </c>
      <c r="J161" s="260"/>
      <c r="K161" s="260"/>
      <c r="L161" s="260"/>
      <c r="M161" s="260"/>
      <c r="N161" s="260"/>
      <c r="O161" s="27"/>
    </row>
    <row r="162" spans="1:15" s="242" customFormat="1" ht="55.5" customHeight="1" x14ac:dyDescent="0.25">
      <c r="A162" s="239"/>
      <c r="B162" s="240"/>
      <c r="C162" s="240"/>
      <c r="D162" s="211"/>
      <c r="E162" s="211"/>
      <c r="F162" s="210" t="s">
        <v>218</v>
      </c>
      <c r="G162" s="279">
        <f>G163+G164</f>
        <v>240</v>
      </c>
      <c r="H162" s="279">
        <f t="shared" ref="H162:I162" si="12">H163+H164</f>
        <v>240</v>
      </c>
      <c r="I162" s="279">
        <f t="shared" si="12"/>
        <v>211.62899999999999</v>
      </c>
      <c r="J162" s="270">
        <f>I162/G162*100</f>
        <v>88.178749999999994</v>
      </c>
      <c r="K162" s="270">
        <f>K163+K164</f>
        <v>435</v>
      </c>
      <c r="L162" s="270">
        <f>L163+L164</f>
        <v>0</v>
      </c>
      <c r="M162" s="270">
        <f>M163+M164</f>
        <v>0</v>
      </c>
      <c r="N162" s="270">
        <f>M162/K162*100</f>
        <v>0</v>
      </c>
      <c r="O162" s="241"/>
    </row>
    <row r="163" spans="1:15" s="65" customFormat="1" ht="69" customHeight="1" x14ac:dyDescent="0.25">
      <c r="A163" s="11" t="s">
        <v>188</v>
      </c>
      <c r="B163" s="11" t="s">
        <v>189</v>
      </c>
      <c r="C163" s="11" t="s">
        <v>190</v>
      </c>
      <c r="D163" s="43" t="s">
        <v>191</v>
      </c>
      <c r="E163" s="67"/>
      <c r="F163" s="43" t="s">
        <v>320</v>
      </c>
      <c r="G163" s="261"/>
      <c r="H163" s="261"/>
      <c r="I163" s="261"/>
      <c r="J163" s="261"/>
      <c r="K163" s="260">
        <v>435</v>
      </c>
      <c r="L163" s="260">
        <v>0</v>
      </c>
      <c r="M163" s="260">
        <v>0</v>
      </c>
      <c r="N163" s="261"/>
      <c r="O163" s="14"/>
    </row>
    <row r="164" spans="1:15" s="65" customFormat="1" ht="78" customHeight="1" x14ac:dyDescent="0.25">
      <c r="A164" s="42">
        <v>4016060</v>
      </c>
      <c r="B164" s="21" t="s">
        <v>199</v>
      </c>
      <c r="C164" s="21" t="s">
        <v>190</v>
      </c>
      <c r="D164" s="67" t="s">
        <v>192</v>
      </c>
      <c r="E164" s="43"/>
      <c r="F164" s="16" t="s">
        <v>219</v>
      </c>
      <c r="G164" s="278">
        <v>240</v>
      </c>
      <c r="H164" s="278">
        <f>211.7+28.3</f>
        <v>240</v>
      </c>
      <c r="I164" s="278">
        <v>211.62899999999999</v>
      </c>
      <c r="J164" s="260"/>
      <c r="K164" s="260"/>
      <c r="L164" s="260"/>
      <c r="M164" s="260"/>
      <c r="N164" s="260"/>
      <c r="O164" s="14"/>
    </row>
    <row r="165" spans="1:15" s="242" customFormat="1" ht="58.5" customHeight="1" x14ac:dyDescent="0.25">
      <c r="A165" s="243"/>
      <c r="B165" s="243"/>
      <c r="C165" s="243"/>
      <c r="D165" s="244"/>
      <c r="E165" s="210"/>
      <c r="F165" s="215" t="s">
        <v>277</v>
      </c>
      <c r="G165" s="270">
        <f>G166</f>
        <v>9</v>
      </c>
      <c r="H165" s="270">
        <f t="shared" ref="H165:I165" si="13">H166</f>
        <v>2</v>
      </c>
      <c r="I165" s="270">
        <f t="shared" si="13"/>
        <v>0.57699999999999996</v>
      </c>
      <c r="J165" s="270"/>
      <c r="K165" s="270"/>
      <c r="L165" s="270"/>
      <c r="M165" s="270"/>
      <c r="N165" s="270"/>
      <c r="O165" s="241"/>
    </row>
    <row r="166" spans="1:15" s="65" customFormat="1" ht="42.75" customHeight="1" x14ac:dyDescent="0.25">
      <c r="A166" s="11" t="s">
        <v>216</v>
      </c>
      <c r="B166" s="11" t="s">
        <v>217</v>
      </c>
      <c r="C166" s="11" t="s">
        <v>37</v>
      </c>
      <c r="D166" s="85" t="s">
        <v>220</v>
      </c>
      <c r="E166" s="43"/>
      <c r="F166" s="43" t="s">
        <v>221</v>
      </c>
      <c r="G166" s="260">
        <v>9</v>
      </c>
      <c r="H166" s="260">
        <v>2</v>
      </c>
      <c r="I166" s="260">
        <v>0.57699999999999996</v>
      </c>
      <c r="J166" s="260"/>
      <c r="K166" s="260"/>
      <c r="L166" s="260"/>
      <c r="M166" s="260"/>
      <c r="N166" s="260"/>
      <c r="O166" s="14"/>
    </row>
    <row r="167" spans="1:15" s="65" customFormat="1" ht="53.25" customHeight="1" x14ac:dyDescent="0.25">
      <c r="A167" s="42"/>
      <c r="B167" s="21"/>
      <c r="C167" s="21"/>
      <c r="D167" s="67"/>
      <c r="E167" s="43"/>
      <c r="F167" s="215" t="s">
        <v>222</v>
      </c>
      <c r="G167" s="270">
        <f>G168</f>
        <v>130</v>
      </c>
      <c r="H167" s="270">
        <f t="shared" ref="H167:I167" si="14">H168</f>
        <v>60</v>
      </c>
      <c r="I167" s="270">
        <f t="shared" si="14"/>
        <v>0</v>
      </c>
      <c r="J167" s="270">
        <f>I167/G167*100</f>
        <v>0</v>
      </c>
      <c r="K167" s="270">
        <f>K169</f>
        <v>70</v>
      </c>
      <c r="L167" s="270">
        <f>L169</f>
        <v>70</v>
      </c>
      <c r="M167" s="270">
        <v>0</v>
      </c>
      <c r="N167" s="270">
        <f>M167/K167*100</f>
        <v>0</v>
      </c>
      <c r="O167" s="14"/>
    </row>
    <row r="168" spans="1:15" s="10" customFormat="1" ht="66.75" customHeight="1" x14ac:dyDescent="0.25">
      <c r="A168" s="42">
        <v>4016060</v>
      </c>
      <c r="B168" s="21" t="s">
        <v>199</v>
      </c>
      <c r="C168" s="21" t="s">
        <v>190</v>
      </c>
      <c r="D168" s="67" t="s">
        <v>192</v>
      </c>
      <c r="E168" s="44"/>
      <c r="F168" s="16" t="s">
        <v>267</v>
      </c>
      <c r="G168" s="260">
        <v>130</v>
      </c>
      <c r="H168" s="260">
        <f>30+30</f>
        <v>60</v>
      </c>
      <c r="I168" s="260">
        <v>0</v>
      </c>
      <c r="J168" s="260"/>
      <c r="K168" s="260"/>
      <c r="L168" s="260"/>
      <c r="M168" s="260"/>
      <c r="N168" s="260"/>
      <c r="O168" s="27"/>
    </row>
    <row r="169" spans="1:15" s="10" customFormat="1" ht="81.75" customHeight="1" x14ac:dyDescent="0.25">
      <c r="A169" s="42"/>
      <c r="B169" s="21"/>
      <c r="C169" s="21"/>
      <c r="D169" s="67"/>
      <c r="E169" s="44"/>
      <c r="F169" s="16" t="s">
        <v>223</v>
      </c>
      <c r="G169" s="260"/>
      <c r="H169" s="260"/>
      <c r="I169" s="260"/>
      <c r="J169" s="260"/>
      <c r="K169" s="260">
        <v>70</v>
      </c>
      <c r="L169" s="260">
        <v>70</v>
      </c>
      <c r="M169" s="260">
        <v>0</v>
      </c>
      <c r="N169" s="260"/>
      <c r="O169" s="27"/>
    </row>
    <row r="170" spans="1:15" s="65" customFormat="1" ht="66.75" customHeight="1" x14ac:dyDescent="0.25">
      <c r="A170" s="42"/>
      <c r="B170" s="21"/>
      <c r="C170" s="21"/>
      <c r="D170" s="43"/>
      <c r="E170" s="43"/>
      <c r="F170" s="215" t="s">
        <v>278</v>
      </c>
      <c r="G170" s="279">
        <f>G171+G172+G173+G174</f>
        <v>603.88</v>
      </c>
      <c r="H170" s="279">
        <f>H171+H172+H173+H174</f>
        <v>296.88</v>
      </c>
      <c r="I170" s="279">
        <f>I171+I172+I173+I174</f>
        <v>138.84253999999999</v>
      </c>
      <c r="J170" s="270">
        <f>I170/G170*100</f>
        <v>22.991743392727031</v>
      </c>
      <c r="K170" s="270">
        <f>-K171+K172+K173</f>
        <v>42.87</v>
      </c>
      <c r="L170" s="270">
        <f>-L171+L172+L173</f>
        <v>42.87</v>
      </c>
      <c r="M170" s="270">
        <f>-M171+M172+M173</f>
        <v>42.87</v>
      </c>
      <c r="N170" s="270">
        <f>M170/K170*100</f>
        <v>100</v>
      </c>
      <c r="O170" s="14"/>
    </row>
    <row r="171" spans="1:15" s="65" customFormat="1" ht="62.25" customHeight="1" x14ac:dyDescent="0.25">
      <c r="A171" s="42">
        <v>4016060</v>
      </c>
      <c r="B171" s="21" t="s">
        <v>199</v>
      </c>
      <c r="C171" s="21" t="s">
        <v>190</v>
      </c>
      <c r="D171" s="43" t="s">
        <v>224</v>
      </c>
      <c r="E171" s="43"/>
      <c r="F171" s="45" t="s">
        <v>225</v>
      </c>
      <c r="G171" s="278">
        <v>400</v>
      </c>
      <c r="H171" s="278">
        <v>232</v>
      </c>
      <c r="I171" s="278">
        <v>100.83069</v>
      </c>
      <c r="J171" s="260"/>
      <c r="K171" s="260"/>
      <c r="L171" s="260"/>
      <c r="M171" s="260"/>
      <c r="N171" s="260"/>
      <c r="O171" s="14"/>
    </row>
    <row r="172" spans="1:15" s="65" customFormat="1" ht="57" customHeight="1" x14ac:dyDescent="0.25">
      <c r="A172" s="42">
        <v>4017420</v>
      </c>
      <c r="B172" s="21" t="s">
        <v>217</v>
      </c>
      <c r="C172" s="21" t="s">
        <v>37</v>
      </c>
      <c r="D172" s="85" t="s">
        <v>194</v>
      </c>
      <c r="E172" s="43"/>
      <c r="F172" s="45" t="s">
        <v>226</v>
      </c>
      <c r="G172" s="278">
        <v>200</v>
      </c>
      <c r="H172" s="278">
        <f>44+17</f>
        <v>61</v>
      </c>
      <c r="I172" s="278">
        <v>34.13185</v>
      </c>
      <c r="J172" s="260"/>
      <c r="K172" s="260"/>
      <c r="L172" s="260"/>
      <c r="M172" s="260"/>
      <c r="N172" s="260"/>
      <c r="O172" s="14"/>
    </row>
    <row r="173" spans="1:15" s="65" customFormat="1" ht="36.75" customHeight="1" x14ac:dyDescent="0.25">
      <c r="A173" s="42"/>
      <c r="B173" s="21"/>
      <c r="C173" s="21"/>
      <c r="D173" s="85"/>
      <c r="E173" s="43"/>
      <c r="F173" s="45" t="s">
        <v>367</v>
      </c>
      <c r="G173" s="278"/>
      <c r="H173" s="278"/>
      <c r="I173" s="278"/>
      <c r="J173" s="260"/>
      <c r="K173" s="260">
        <v>42.87</v>
      </c>
      <c r="L173" s="260">
        <v>42.87</v>
      </c>
      <c r="M173" s="260">
        <v>42.87</v>
      </c>
      <c r="N173" s="260"/>
      <c r="O173" s="14"/>
    </row>
    <row r="174" spans="1:15" s="65" customFormat="1" ht="59.25" customHeight="1" x14ac:dyDescent="0.25">
      <c r="A174" s="42"/>
      <c r="B174" s="21"/>
      <c r="C174" s="21"/>
      <c r="D174" s="85"/>
      <c r="E174" s="43"/>
      <c r="F174" s="45" t="s">
        <v>368</v>
      </c>
      <c r="G174" s="278">
        <v>3.88</v>
      </c>
      <c r="H174" s="278">
        <v>3.88</v>
      </c>
      <c r="I174" s="278">
        <v>3.88</v>
      </c>
      <c r="J174" s="260"/>
      <c r="K174" s="260"/>
      <c r="L174" s="260"/>
      <c r="M174" s="260"/>
      <c r="N174" s="260"/>
      <c r="O174" s="14"/>
    </row>
    <row r="175" spans="1:15" s="242" customFormat="1" ht="44.25" customHeight="1" x14ac:dyDescent="0.25">
      <c r="A175" s="239"/>
      <c r="B175" s="240"/>
      <c r="C175" s="240"/>
      <c r="D175" s="244"/>
      <c r="E175" s="210"/>
      <c r="F175" s="245" t="s">
        <v>345</v>
      </c>
      <c r="G175" s="271">
        <f>G177+G176</f>
        <v>300</v>
      </c>
      <c r="H175" s="271">
        <f>H177+H176</f>
        <v>300</v>
      </c>
      <c r="I175" s="271">
        <f t="shared" ref="I175" si="15">I177</f>
        <v>0</v>
      </c>
      <c r="J175" s="271">
        <f>I175/G175*100</f>
        <v>0</v>
      </c>
      <c r="K175" s="271">
        <f>K176+K177</f>
        <v>1500</v>
      </c>
      <c r="L175" s="271">
        <f>L176+L177</f>
        <v>1500</v>
      </c>
      <c r="M175" s="271">
        <f>M176+M177</f>
        <v>0</v>
      </c>
      <c r="N175" s="271">
        <f>M175/K175*100</f>
        <v>0</v>
      </c>
      <c r="O175" s="241"/>
    </row>
    <row r="176" spans="1:15" s="65" customFormat="1" ht="47.25" customHeight="1" x14ac:dyDescent="0.25">
      <c r="A176" s="42"/>
      <c r="B176" s="21"/>
      <c r="C176" s="21"/>
      <c r="D176" s="85"/>
      <c r="E176" s="43"/>
      <c r="F176" s="45" t="s">
        <v>369</v>
      </c>
      <c r="G176" s="260"/>
      <c r="H176" s="260"/>
      <c r="I176" s="260"/>
      <c r="J176" s="260"/>
      <c r="K176" s="260">
        <v>1500</v>
      </c>
      <c r="L176" s="260">
        <v>1500</v>
      </c>
      <c r="M176" s="260">
        <v>0</v>
      </c>
      <c r="N176" s="260"/>
      <c r="O176" s="14"/>
    </row>
    <row r="177" spans="1:15" s="65" customFormat="1" ht="32.25" customHeight="1" x14ac:dyDescent="0.25">
      <c r="A177" s="42"/>
      <c r="B177" s="21"/>
      <c r="C177" s="21"/>
      <c r="D177" s="85"/>
      <c r="E177" s="43"/>
      <c r="F177" s="45" t="s">
        <v>370</v>
      </c>
      <c r="G177" s="260">
        <v>300</v>
      </c>
      <c r="H177" s="260">
        <v>300</v>
      </c>
      <c r="I177" s="260">
        <v>0</v>
      </c>
      <c r="J177" s="260"/>
      <c r="K177" s="260"/>
      <c r="L177" s="260"/>
      <c r="M177" s="260"/>
      <c r="N177" s="260"/>
      <c r="O177" s="14"/>
    </row>
    <row r="178" spans="1:15" s="249" customFormat="1" ht="56.25" customHeight="1" x14ac:dyDescent="0.25">
      <c r="A178" s="246"/>
      <c r="B178" s="247"/>
      <c r="C178" s="247"/>
      <c r="D178" s="210"/>
      <c r="E178" s="214"/>
      <c r="F178" s="248" t="s">
        <v>291</v>
      </c>
      <c r="G178" s="270">
        <f>G179+G180+G183</f>
        <v>1000</v>
      </c>
      <c r="H178" s="270">
        <f>H179+H180+H183</f>
        <v>870</v>
      </c>
      <c r="I178" s="270">
        <f>I179+I180+I183</f>
        <v>713.71299999999997</v>
      </c>
      <c r="J178" s="270">
        <f>I178/G178*100</f>
        <v>71.371299999999991</v>
      </c>
      <c r="K178" s="270">
        <f>K179+K180+K183</f>
        <v>4210</v>
      </c>
      <c r="L178" s="270">
        <f>L179+L180+L183</f>
        <v>753</v>
      </c>
      <c r="M178" s="270">
        <f>M179+M180+M183</f>
        <v>46.638730000000002</v>
      </c>
      <c r="N178" s="270">
        <f>M178/K178*100</f>
        <v>1.1078083135391925</v>
      </c>
      <c r="O178" s="231"/>
    </row>
    <row r="179" spans="1:15" s="19" customFormat="1" ht="68.25" customHeight="1" x14ac:dyDescent="0.25">
      <c r="A179" s="42">
        <v>4016010</v>
      </c>
      <c r="B179" s="24" t="s">
        <v>227</v>
      </c>
      <c r="C179" s="24" t="s">
        <v>203</v>
      </c>
      <c r="D179" s="43" t="s">
        <v>228</v>
      </c>
      <c r="E179" s="44"/>
      <c r="F179" s="88" t="s">
        <v>229</v>
      </c>
      <c r="G179" s="260">
        <v>1000</v>
      </c>
      <c r="H179" s="260">
        <v>870</v>
      </c>
      <c r="I179" s="260">
        <v>713.71299999999997</v>
      </c>
      <c r="J179" s="260"/>
      <c r="K179" s="260"/>
      <c r="L179" s="260"/>
      <c r="M179" s="260"/>
      <c r="N179" s="260"/>
      <c r="O179" s="87"/>
    </row>
    <row r="180" spans="1:15" s="19" customFormat="1" ht="39" customHeight="1" x14ac:dyDescent="0.25">
      <c r="A180" s="11" t="s">
        <v>181</v>
      </c>
      <c r="B180" s="11" t="s">
        <v>182</v>
      </c>
      <c r="C180" s="21" t="s">
        <v>203</v>
      </c>
      <c r="D180" s="67" t="s">
        <v>183</v>
      </c>
      <c r="E180" s="44"/>
      <c r="F180" s="86"/>
      <c r="G180" s="260">
        <f>G181</f>
        <v>0</v>
      </c>
      <c r="H180" s="260"/>
      <c r="I180" s="260"/>
      <c r="J180" s="260"/>
      <c r="K180" s="260">
        <f>SUM(K181:K182)</f>
        <v>2610</v>
      </c>
      <c r="L180" s="260">
        <f>SUM(L181:L182)</f>
        <v>753</v>
      </c>
      <c r="M180" s="260">
        <f>SUM(M181:M182)</f>
        <v>46.638730000000002</v>
      </c>
      <c r="N180" s="260">
        <f>M180/K180*100</f>
        <v>1.7869245210727969</v>
      </c>
      <c r="O180" s="87"/>
    </row>
    <row r="181" spans="1:15" s="227" customFormat="1" ht="78" customHeight="1" x14ac:dyDescent="0.25">
      <c r="A181" s="154" t="s">
        <v>230</v>
      </c>
      <c r="B181" s="154" t="s">
        <v>279</v>
      </c>
      <c r="C181" s="24" t="s">
        <v>203</v>
      </c>
      <c r="D181" s="43" t="s">
        <v>231</v>
      </c>
      <c r="E181" s="43" t="s">
        <v>231</v>
      </c>
      <c r="F181" s="67" t="s">
        <v>268</v>
      </c>
      <c r="G181" s="260"/>
      <c r="H181" s="260"/>
      <c r="I181" s="260"/>
      <c r="J181" s="260"/>
      <c r="K181" s="273">
        <f>1710</f>
        <v>1710</v>
      </c>
      <c r="L181" s="273">
        <v>513</v>
      </c>
      <c r="M181" s="273"/>
      <c r="N181" s="273"/>
      <c r="O181" s="226"/>
    </row>
    <row r="182" spans="1:15" s="227" customFormat="1" ht="54" customHeight="1" x14ac:dyDescent="0.25">
      <c r="A182" s="154"/>
      <c r="B182" s="154"/>
      <c r="C182" s="24"/>
      <c r="D182" s="43"/>
      <c r="E182" s="43"/>
      <c r="F182" s="67" t="s">
        <v>269</v>
      </c>
      <c r="G182" s="260"/>
      <c r="H182" s="260"/>
      <c r="I182" s="260"/>
      <c r="J182" s="260"/>
      <c r="K182" s="273">
        <v>900</v>
      </c>
      <c r="L182" s="273">
        <v>240</v>
      </c>
      <c r="M182" s="273">
        <v>46.638730000000002</v>
      </c>
      <c r="N182" s="273"/>
      <c r="O182" s="226"/>
    </row>
    <row r="183" spans="1:15" s="227" customFormat="1" ht="35.25" customHeight="1" x14ac:dyDescent="0.25">
      <c r="A183" s="89">
        <v>4016310</v>
      </c>
      <c r="B183" s="24" t="s">
        <v>36</v>
      </c>
      <c r="C183" s="24" t="s">
        <v>37</v>
      </c>
      <c r="D183" s="43" t="s">
        <v>232</v>
      </c>
      <c r="E183" s="44"/>
      <c r="F183" s="43"/>
      <c r="G183" s="260">
        <f>SUM(G184:G185)</f>
        <v>0</v>
      </c>
      <c r="H183" s="260"/>
      <c r="I183" s="260"/>
      <c r="J183" s="260"/>
      <c r="K183" s="260">
        <f>SUM(K184:K185)</f>
        <v>1600</v>
      </c>
      <c r="L183" s="260">
        <f>SUM(L184:L185)</f>
        <v>0</v>
      </c>
      <c r="M183" s="260">
        <f>SUM(M184:M185)</f>
        <v>0</v>
      </c>
      <c r="N183" s="260">
        <f>M183/K183*100</f>
        <v>0</v>
      </c>
      <c r="O183" s="226"/>
    </row>
    <row r="184" spans="1:15" s="19" customFormat="1" ht="37.5" customHeight="1" x14ac:dyDescent="0.25">
      <c r="A184" s="89"/>
      <c r="B184" s="24"/>
      <c r="C184" s="24"/>
      <c r="D184" s="80" t="s">
        <v>178</v>
      </c>
      <c r="E184" s="44"/>
      <c r="F184" s="43" t="s">
        <v>270</v>
      </c>
      <c r="G184" s="260"/>
      <c r="H184" s="260"/>
      <c r="I184" s="260"/>
      <c r="J184" s="260"/>
      <c r="K184" s="260">
        <v>800</v>
      </c>
      <c r="L184" s="260"/>
      <c r="M184" s="260"/>
      <c r="N184" s="260"/>
      <c r="O184" s="87"/>
    </row>
    <row r="185" spans="1:15" s="19" customFormat="1" ht="72" customHeight="1" x14ac:dyDescent="0.25">
      <c r="A185" s="89"/>
      <c r="B185" s="24"/>
      <c r="C185" s="24"/>
      <c r="D185" s="43"/>
      <c r="E185" s="44"/>
      <c r="F185" s="43" t="s">
        <v>271</v>
      </c>
      <c r="G185" s="260"/>
      <c r="H185" s="260"/>
      <c r="I185" s="260"/>
      <c r="J185" s="260"/>
      <c r="K185" s="260">
        <v>800</v>
      </c>
      <c r="L185" s="260"/>
      <c r="M185" s="260"/>
      <c r="N185" s="260"/>
      <c r="O185" s="87"/>
    </row>
    <row r="186" spans="1:15" s="249" customFormat="1" ht="52.5" customHeight="1" x14ac:dyDescent="0.25">
      <c r="A186" s="250">
        <v>4016052</v>
      </c>
      <c r="B186" s="247" t="s">
        <v>189</v>
      </c>
      <c r="C186" s="247" t="s">
        <v>190</v>
      </c>
      <c r="D186" s="210" t="s">
        <v>191</v>
      </c>
      <c r="E186" s="214"/>
      <c r="F186" s="251" t="s">
        <v>322</v>
      </c>
      <c r="G186" s="270">
        <f>G187</f>
        <v>15</v>
      </c>
      <c r="H186" s="270">
        <f t="shared" ref="H186:I186" si="16">H187</f>
        <v>10</v>
      </c>
      <c r="I186" s="270">
        <f t="shared" si="16"/>
        <v>3.8159999999999998</v>
      </c>
      <c r="J186" s="271">
        <f>I186/G186*100</f>
        <v>25.44</v>
      </c>
      <c r="K186" s="271"/>
      <c r="L186" s="271"/>
      <c r="M186" s="271"/>
      <c r="N186" s="271"/>
      <c r="O186" s="231"/>
    </row>
    <row r="187" spans="1:15" s="19" customFormat="1" ht="35.25" customHeight="1" x14ac:dyDescent="0.25">
      <c r="A187" s="89"/>
      <c r="B187" s="24"/>
      <c r="C187" s="24"/>
      <c r="D187" s="43"/>
      <c r="E187" s="44"/>
      <c r="F187" s="43" t="s">
        <v>321</v>
      </c>
      <c r="G187" s="260">
        <v>15</v>
      </c>
      <c r="H187" s="260">
        <v>10</v>
      </c>
      <c r="I187" s="260">
        <v>3.8159999999999998</v>
      </c>
      <c r="J187" s="260"/>
      <c r="K187" s="260"/>
      <c r="L187" s="260"/>
      <c r="M187" s="260"/>
      <c r="N187" s="260"/>
      <c r="O187" s="87"/>
    </row>
    <row r="188" spans="1:15" s="249" customFormat="1" ht="66" customHeight="1" x14ac:dyDescent="0.25">
      <c r="A188" s="250">
        <v>4017810</v>
      </c>
      <c r="B188" s="247" t="s">
        <v>242</v>
      </c>
      <c r="C188" s="247" t="s">
        <v>243</v>
      </c>
      <c r="D188" s="210" t="s">
        <v>244</v>
      </c>
      <c r="E188" s="214"/>
      <c r="F188" s="252" t="s">
        <v>324</v>
      </c>
      <c r="G188" s="271">
        <f>G189</f>
        <v>150</v>
      </c>
      <c r="H188" s="271">
        <f t="shared" ref="H188:I188" si="17">H189</f>
        <v>150</v>
      </c>
      <c r="I188" s="271">
        <f t="shared" si="17"/>
        <v>0</v>
      </c>
      <c r="J188" s="271">
        <f>I188/G188*100</f>
        <v>0</v>
      </c>
      <c r="K188" s="271"/>
      <c r="L188" s="271"/>
      <c r="M188" s="271"/>
      <c r="N188" s="271"/>
      <c r="O188" s="231"/>
    </row>
    <row r="189" spans="1:15" s="227" customFormat="1" ht="153.75" customHeight="1" x14ac:dyDescent="0.25">
      <c r="A189" s="89"/>
      <c r="B189" s="24"/>
      <c r="C189" s="24"/>
      <c r="D189" s="43"/>
      <c r="E189" s="44"/>
      <c r="F189" s="43" t="s">
        <v>323</v>
      </c>
      <c r="G189" s="260">
        <v>150</v>
      </c>
      <c r="H189" s="260">
        <v>150</v>
      </c>
      <c r="I189" s="260">
        <v>0</v>
      </c>
      <c r="J189" s="260">
        <f>I189/G189*100</f>
        <v>0</v>
      </c>
      <c r="K189" s="260"/>
      <c r="L189" s="260"/>
      <c r="M189" s="260"/>
      <c r="N189" s="260"/>
      <c r="O189" s="226"/>
    </row>
    <row r="190" spans="1:15" s="19" customFormat="1" ht="36" customHeight="1" x14ac:dyDescent="0.25">
      <c r="A190" s="77"/>
      <c r="B190" s="24"/>
      <c r="C190" s="24"/>
      <c r="D190" s="198" t="s">
        <v>50</v>
      </c>
      <c r="E190" s="196"/>
      <c r="F190" s="204"/>
      <c r="G190" s="262">
        <f>G103+G137+G154+G162+G165+G167+G170+G178+G186+G188+G175</f>
        <v>24876.2</v>
      </c>
      <c r="H190" s="262">
        <f>H103+H137+H154+H162+H165+H167+H170+H178+H186+H188+H175</f>
        <v>12743.319</v>
      </c>
      <c r="I190" s="262">
        <f>I103+I137+I154+I162+I165+I167+I170+I178+I186+I188+I175</f>
        <v>9849.0004800000006</v>
      </c>
      <c r="J190" s="262">
        <f>I190/G190*100</f>
        <v>39.592061810083536</v>
      </c>
      <c r="K190" s="262">
        <f>K103+K137+K154+K162+K165+K167+K170+K178+K186+K188+K175</f>
        <v>39913.034</v>
      </c>
      <c r="L190" s="262">
        <f>L103+L137+L154+L162+L165+L167+L170+L178+L186+L188+L175</f>
        <v>13890.034</v>
      </c>
      <c r="M190" s="262">
        <f>M103+M137+M154+M162+M165+M167+M170+M178+M186+M188+M175</f>
        <v>1040.8393900000001</v>
      </c>
      <c r="N190" s="262">
        <f>M190/K190*100</f>
        <v>2.607768154132307</v>
      </c>
      <c r="O190" s="87"/>
    </row>
    <row r="191" spans="1:15" s="19" customFormat="1" ht="109.5" customHeight="1" x14ac:dyDescent="0.25">
      <c r="A191" s="169">
        <v>6000000</v>
      </c>
      <c r="B191" s="177"/>
      <c r="C191" s="177"/>
      <c r="D191" s="186" t="s">
        <v>233</v>
      </c>
      <c r="E191" s="190"/>
      <c r="F191" s="191"/>
      <c r="G191" s="267"/>
      <c r="H191" s="267"/>
      <c r="I191" s="267"/>
      <c r="J191" s="267"/>
      <c r="K191" s="267"/>
      <c r="L191" s="267"/>
      <c r="M191" s="267"/>
      <c r="N191" s="267"/>
      <c r="O191" s="87"/>
    </row>
    <row r="192" spans="1:15" s="19" customFormat="1" ht="81.75" customHeight="1" x14ac:dyDescent="0.25">
      <c r="A192" s="187">
        <v>6010000</v>
      </c>
      <c r="B192" s="177"/>
      <c r="C192" s="177"/>
      <c r="D192" s="188" t="s">
        <v>233</v>
      </c>
      <c r="E192" s="190"/>
      <c r="F192" s="191"/>
      <c r="G192" s="267"/>
      <c r="H192" s="267"/>
      <c r="I192" s="267"/>
      <c r="J192" s="267"/>
      <c r="K192" s="267"/>
      <c r="L192" s="267"/>
      <c r="M192" s="267"/>
      <c r="N192" s="267"/>
      <c r="O192" s="87"/>
    </row>
    <row r="193" spans="1:15" s="19" customFormat="1" ht="44.25" customHeight="1" x14ac:dyDescent="0.25">
      <c r="A193" s="77"/>
      <c r="B193" s="24"/>
      <c r="C193" s="24"/>
      <c r="D193" s="44"/>
      <c r="E193" s="44"/>
      <c r="F193" s="216" t="s">
        <v>272</v>
      </c>
      <c r="G193" s="274">
        <f>G194+G195+G196</f>
        <v>131.5</v>
      </c>
      <c r="H193" s="274">
        <f t="shared" ref="H193:M193" si="18">H194+H195+H196</f>
        <v>31.5</v>
      </c>
      <c r="I193" s="274">
        <f t="shared" si="18"/>
        <v>0</v>
      </c>
      <c r="J193" s="274">
        <f>I193/G193*100</f>
        <v>0</v>
      </c>
      <c r="K193" s="274">
        <f t="shared" si="18"/>
        <v>500</v>
      </c>
      <c r="L193" s="274">
        <f t="shared" si="18"/>
        <v>0</v>
      </c>
      <c r="M193" s="274">
        <f t="shared" si="18"/>
        <v>0</v>
      </c>
      <c r="N193" s="274">
        <f>M193/K193*100</f>
        <v>0</v>
      </c>
      <c r="O193" s="87"/>
    </row>
    <row r="194" spans="1:15" s="19" customFormat="1" ht="51.75" customHeight="1" x14ac:dyDescent="0.25">
      <c r="A194" s="11" t="s">
        <v>234</v>
      </c>
      <c r="B194" s="11" t="s">
        <v>235</v>
      </c>
      <c r="C194" s="24" t="s">
        <v>236</v>
      </c>
      <c r="D194" s="43" t="s">
        <v>237</v>
      </c>
      <c r="E194" s="44"/>
      <c r="F194" s="88" t="s">
        <v>388</v>
      </c>
      <c r="G194" s="260">
        <v>31.5</v>
      </c>
      <c r="H194" s="260">
        <f>31.5</f>
        <v>31.5</v>
      </c>
      <c r="I194" s="260">
        <v>0</v>
      </c>
      <c r="J194" s="260"/>
      <c r="K194" s="260"/>
      <c r="L194" s="260"/>
      <c r="M194" s="260"/>
      <c r="N194" s="260"/>
      <c r="O194" s="87"/>
    </row>
    <row r="195" spans="1:15" s="19" customFormat="1" ht="79.5" customHeight="1" x14ac:dyDescent="0.25">
      <c r="A195" s="11"/>
      <c r="B195" s="11"/>
      <c r="C195" s="24"/>
      <c r="D195" s="43"/>
      <c r="E195" s="44"/>
      <c r="F195" s="88" t="s">
        <v>307</v>
      </c>
      <c r="G195" s="260">
        <v>100</v>
      </c>
      <c r="H195" s="260">
        <v>0</v>
      </c>
      <c r="I195" s="260">
        <v>0</v>
      </c>
      <c r="J195" s="260"/>
      <c r="K195" s="260"/>
      <c r="L195" s="260"/>
      <c r="M195" s="260"/>
      <c r="N195" s="260"/>
      <c r="O195" s="87"/>
    </row>
    <row r="196" spans="1:15" s="51" customFormat="1" ht="82.5" customHeight="1" x14ac:dyDescent="0.25">
      <c r="A196" s="42">
        <v>6017420</v>
      </c>
      <c r="B196" s="21" t="s">
        <v>217</v>
      </c>
      <c r="C196" s="21" t="s">
        <v>37</v>
      </c>
      <c r="D196" s="43" t="s">
        <v>194</v>
      </c>
      <c r="E196" s="43"/>
      <c r="F196" s="88" t="s">
        <v>374</v>
      </c>
      <c r="G196" s="260"/>
      <c r="H196" s="260"/>
      <c r="I196" s="260"/>
      <c r="J196" s="260"/>
      <c r="K196" s="260">
        <v>500</v>
      </c>
      <c r="L196" s="260">
        <v>0</v>
      </c>
      <c r="M196" s="260">
        <v>0</v>
      </c>
      <c r="N196" s="260"/>
      <c r="O196" s="76"/>
    </row>
    <row r="197" spans="1:15" s="51" customFormat="1" ht="49.5" customHeight="1" x14ac:dyDescent="0.25">
      <c r="A197" s="42"/>
      <c r="B197" s="21"/>
      <c r="C197" s="21"/>
      <c r="D197" s="43"/>
      <c r="E197" s="43"/>
      <c r="F197" s="253" t="s">
        <v>308</v>
      </c>
      <c r="G197" s="275">
        <f t="shared" ref="G197:N197" si="19">G198+G199+G200</f>
        <v>135.72399999999999</v>
      </c>
      <c r="H197" s="275">
        <f t="shared" si="19"/>
        <v>68</v>
      </c>
      <c r="I197" s="275">
        <f t="shared" si="19"/>
        <v>0</v>
      </c>
      <c r="J197" s="275">
        <f t="shared" si="19"/>
        <v>0</v>
      </c>
      <c r="K197" s="275">
        <f t="shared" si="19"/>
        <v>180.17599999999999</v>
      </c>
      <c r="L197" s="275">
        <f t="shared" si="19"/>
        <v>75.176000000000002</v>
      </c>
      <c r="M197" s="275">
        <f t="shared" si="19"/>
        <v>33.884099999999997</v>
      </c>
      <c r="N197" s="275">
        <f t="shared" si="19"/>
        <v>24.202928571428568</v>
      </c>
      <c r="O197" s="76"/>
    </row>
    <row r="198" spans="1:15" s="51" customFormat="1" ht="92.25" customHeight="1" x14ac:dyDescent="0.25">
      <c r="A198" s="42">
        <v>6019110</v>
      </c>
      <c r="B198" s="21" t="s">
        <v>239</v>
      </c>
      <c r="C198" s="21" t="s">
        <v>240</v>
      </c>
      <c r="D198" s="43" t="s">
        <v>274</v>
      </c>
      <c r="E198" s="12"/>
      <c r="F198" s="43" t="s">
        <v>389</v>
      </c>
      <c r="G198" s="260"/>
      <c r="H198" s="260"/>
      <c r="I198" s="260"/>
      <c r="J198" s="260"/>
      <c r="K198" s="260">
        <v>140</v>
      </c>
      <c r="L198" s="260">
        <v>35</v>
      </c>
      <c r="M198" s="260">
        <v>33.884099999999997</v>
      </c>
      <c r="N198" s="260">
        <f>M198/K198*100</f>
        <v>24.202928571428568</v>
      </c>
      <c r="O198" s="14"/>
    </row>
    <row r="199" spans="1:15" s="51" customFormat="1" ht="96" customHeight="1" thickBot="1" x14ac:dyDescent="0.3">
      <c r="A199" s="42">
        <v>6019110</v>
      </c>
      <c r="B199" s="21" t="s">
        <v>239</v>
      </c>
      <c r="C199" s="21" t="s">
        <v>240</v>
      </c>
      <c r="D199" s="43" t="s">
        <v>274</v>
      </c>
      <c r="E199" s="12"/>
      <c r="F199" s="43" t="s">
        <v>305</v>
      </c>
      <c r="G199" s="260"/>
      <c r="H199" s="260"/>
      <c r="I199" s="260"/>
      <c r="J199" s="260"/>
      <c r="K199" s="260">
        <v>40.176000000000002</v>
      </c>
      <c r="L199" s="260">
        <v>40.176000000000002</v>
      </c>
      <c r="M199" s="260">
        <v>0</v>
      </c>
      <c r="N199" s="260">
        <f>M199/K199*100</f>
        <v>0</v>
      </c>
      <c r="O199" s="14"/>
    </row>
    <row r="200" spans="1:15" s="51" customFormat="1" ht="122.25" customHeight="1" thickBot="1" x14ac:dyDescent="0.3">
      <c r="A200" s="42">
        <v>6016060</v>
      </c>
      <c r="B200" s="21" t="s">
        <v>199</v>
      </c>
      <c r="C200" s="21" t="s">
        <v>190</v>
      </c>
      <c r="D200" s="225" t="s">
        <v>306</v>
      </c>
      <c r="E200" s="12"/>
      <c r="F200" s="43" t="s">
        <v>390</v>
      </c>
      <c r="G200" s="260">
        <v>135.72399999999999</v>
      </c>
      <c r="H200" s="260">
        <v>68</v>
      </c>
      <c r="I200" s="260">
        <v>0</v>
      </c>
      <c r="J200" s="260">
        <f>I200/G200*100</f>
        <v>0</v>
      </c>
      <c r="K200" s="260"/>
      <c r="L200" s="260"/>
      <c r="M200" s="260"/>
      <c r="N200" s="260"/>
      <c r="O200" s="14"/>
    </row>
    <row r="201" spans="1:15" s="32" customFormat="1" ht="27.75" customHeight="1" x14ac:dyDescent="0.25">
      <c r="A201" s="49"/>
      <c r="B201" s="49"/>
      <c r="C201" s="49"/>
      <c r="D201" s="198" t="s">
        <v>50</v>
      </c>
      <c r="E201" s="198"/>
      <c r="F201" s="198"/>
      <c r="G201" s="262">
        <f>G193+G197</f>
        <v>267.22399999999999</v>
      </c>
      <c r="H201" s="262">
        <f t="shared" ref="H201:N201" si="20">H193+H197</f>
        <v>99.5</v>
      </c>
      <c r="I201" s="262">
        <f t="shared" si="20"/>
        <v>0</v>
      </c>
      <c r="J201" s="262">
        <f t="shared" si="20"/>
        <v>0</v>
      </c>
      <c r="K201" s="262">
        <f t="shared" si="20"/>
        <v>680.17599999999993</v>
      </c>
      <c r="L201" s="262">
        <f t="shared" si="20"/>
        <v>75.176000000000002</v>
      </c>
      <c r="M201" s="262">
        <f t="shared" si="20"/>
        <v>33.884099999999997</v>
      </c>
      <c r="N201" s="262">
        <f t="shared" si="20"/>
        <v>24.202928571428568</v>
      </c>
      <c r="O201" s="90"/>
    </row>
    <row r="202" spans="1:15" s="51" customFormat="1" ht="100.5" customHeight="1" x14ac:dyDescent="0.25">
      <c r="A202" s="169">
        <v>6700000</v>
      </c>
      <c r="B202" s="192"/>
      <c r="C202" s="192"/>
      <c r="D202" s="181" t="s">
        <v>241</v>
      </c>
      <c r="E202" s="184"/>
      <c r="F202" s="173"/>
      <c r="G202" s="265"/>
      <c r="H202" s="265"/>
      <c r="I202" s="265"/>
      <c r="J202" s="265"/>
      <c r="K202" s="265"/>
      <c r="L202" s="265"/>
      <c r="M202" s="265"/>
      <c r="N202" s="265"/>
      <c r="O202" s="14"/>
    </row>
    <row r="203" spans="1:15" s="51" customFormat="1" ht="96" customHeight="1" x14ac:dyDescent="0.25">
      <c r="A203" s="187">
        <v>6710000</v>
      </c>
      <c r="B203" s="192"/>
      <c r="C203" s="192"/>
      <c r="D203" s="183" t="s">
        <v>241</v>
      </c>
      <c r="E203" s="184"/>
      <c r="F203" s="173"/>
      <c r="G203" s="265"/>
      <c r="H203" s="265"/>
      <c r="I203" s="265"/>
      <c r="J203" s="265"/>
      <c r="K203" s="265"/>
      <c r="L203" s="265"/>
      <c r="M203" s="265"/>
      <c r="N203" s="265"/>
      <c r="O203" s="14"/>
    </row>
    <row r="204" spans="1:15" s="51" customFormat="1" ht="68.25" customHeight="1" x14ac:dyDescent="0.25">
      <c r="A204" s="91">
        <v>6717810</v>
      </c>
      <c r="B204" s="49" t="s">
        <v>242</v>
      </c>
      <c r="C204" s="49" t="s">
        <v>243</v>
      </c>
      <c r="D204" s="67" t="s">
        <v>244</v>
      </c>
      <c r="E204" s="47"/>
      <c r="F204" s="13" t="s">
        <v>381</v>
      </c>
      <c r="G204" s="261">
        <f>G205+G206</f>
        <v>208.3</v>
      </c>
      <c r="H204" s="261">
        <f>H205+H206</f>
        <v>182.7</v>
      </c>
      <c r="I204" s="261">
        <f>I205+I206</f>
        <v>63.199999999999996</v>
      </c>
      <c r="J204" s="261">
        <f>I204/G204*100</f>
        <v>30.340854536725871</v>
      </c>
      <c r="K204" s="261">
        <f>K205+K206</f>
        <v>100</v>
      </c>
      <c r="L204" s="261">
        <f>L205+L206</f>
        <v>100</v>
      </c>
      <c r="M204" s="261">
        <f>M205+M206</f>
        <v>50</v>
      </c>
      <c r="N204" s="261">
        <f>M204/K204*100</f>
        <v>50</v>
      </c>
      <c r="O204" s="14"/>
    </row>
    <row r="205" spans="1:15" s="51" customFormat="1" ht="36" customHeight="1" x14ac:dyDescent="0.25">
      <c r="A205" s="91"/>
      <c r="B205" s="49"/>
      <c r="C205" s="49"/>
      <c r="D205" s="67"/>
      <c r="E205" s="47"/>
      <c r="F205" s="43" t="s">
        <v>382</v>
      </c>
      <c r="G205" s="260">
        <v>38.299999999999997</v>
      </c>
      <c r="H205" s="260">
        <v>12.7</v>
      </c>
      <c r="I205" s="260">
        <v>11.9</v>
      </c>
      <c r="J205" s="260">
        <f>I205/G205*100</f>
        <v>31.070496083550918</v>
      </c>
      <c r="K205" s="260">
        <v>0</v>
      </c>
      <c r="L205" s="260">
        <v>0</v>
      </c>
      <c r="M205" s="260">
        <v>0</v>
      </c>
      <c r="N205" s="260"/>
      <c r="O205" s="14"/>
    </row>
    <row r="206" spans="1:15" s="51" customFormat="1" ht="54.75" customHeight="1" x14ac:dyDescent="0.25">
      <c r="A206" s="91"/>
      <c r="B206" s="49"/>
      <c r="C206" s="49"/>
      <c r="D206" s="67"/>
      <c r="E206" s="47"/>
      <c r="F206" s="43" t="s">
        <v>383</v>
      </c>
      <c r="G206" s="260">
        <v>170</v>
      </c>
      <c r="H206" s="260">
        <v>170</v>
      </c>
      <c r="I206" s="260">
        <v>51.3</v>
      </c>
      <c r="J206" s="260">
        <f>I206/G206*100</f>
        <v>30.176470588235293</v>
      </c>
      <c r="K206" s="260">
        <v>100</v>
      </c>
      <c r="L206" s="260">
        <v>100</v>
      </c>
      <c r="M206" s="260">
        <v>50</v>
      </c>
      <c r="N206" s="260"/>
      <c r="O206" s="14"/>
    </row>
    <row r="207" spans="1:15" s="51" customFormat="1" ht="69" customHeight="1" x14ac:dyDescent="0.25">
      <c r="A207" s="91"/>
      <c r="B207" s="49"/>
      <c r="C207" s="49"/>
      <c r="D207" s="67"/>
      <c r="E207" s="47"/>
      <c r="F207" s="13" t="s">
        <v>350</v>
      </c>
      <c r="G207" s="261">
        <f>G208+G209</f>
        <v>60</v>
      </c>
      <c r="H207" s="261">
        <f t="shared" ref="H207:N207" si="21">H208+H209</f>
        <v>15</v>
      </c>
      <c r="I207" s="261">
        <f t="shared" si="21"/>
        <v>0</v>
      </c>
      <c r="J207" s="261">
        <f t="shared" si="21"/>
        <v>0</v>
      </c>
      <c r="K207" s="261">
        <f t="shared" si="21"/>
        <v>203.624</v>
      </c>
      <c r="L207" s="261">
        <f t="shared" si="21"/>
        <v>203.624</v>
      </c>
      <c r="M207" s="261">
        <f t="shared" si="21"/>
        <v>0</v>
      </c>
      <c r="N207" s="261">
        <f t="shared" si="21"/>
        <v>0</v>
      </c>
      <c r="O207" s="14"/>
    </row>
    <row r="208" spans="1:15" s="51" customFormat="1" ht="49.5" customHeight="1" x14ac:dyDescent="0.3">
      <c r="A208" s="159" t="s">
        <v>351</v>
      </c>
      <c r="B208" s="159" t="s">
        <v>352</v>
      </c>
      <c r="C208" s="159" t="s">
        <v>353</v>
      </c>
      <c r="D208" s="236" t="s">
        <v>354</v>
      </c>
      <c r="E208" s="236"/>
      <c r="F208" s="236" t="s">
        <v>355</v>
      </c>
      <c r="G208" s="261">
        <v>60</v>
      </c>
      <c r="H208" s="261">
        <v>15</v>
      </c>
      <c r="I208" s="261">
        <v>0</v>
      </c>
      <c r="J208" s="261"/>
      <c r="K208" s="261"/>
      <c r="L208" s="261"/>
      <c r="M208" s="261"/>
      <c r="N208" s="261"/>
      <c r="O208" s="14"/>
    </row>
    <row r="209" spans="1:15" s="51" customFormat="1" ht="60.75" customHeight="1" x14ac:dyDescent="0.3">
      <c r="A209" s="159" t="s">
        <v>356</v>
      </c>
      <c r="B209" s="159" t="s">
        <v>29</v>
      </c>
      <c r="C209" s="159" t="s">
        <v>30</v>
      </c>
      <c r="D209" s="237" t="s">
        <v>27</v>
      </c>
      <c r="E209" s="236"/>
      <c r="F209" s="236" t="s">
        <v>357</v>
      </c>
      <c r="G209" s="261"/>
      <c r="H209" s="261"/>
      <c r="I209" s="261"/>
      <c r="J209" s="261"/>
      <c r="K209" s="261">
        <v>203.624</v>
      </c>
      <c r="L209" s="261">
        <v>203.624</v>
      </c>
      <c r="M209" s="261">
        <v>0</v>
      </c>
      <c r="N209" s="261">
        <v>0</v>
      </c>
      <c r="O209" s="14"/>
    </row>
    <row r="210" spans="1:15" s="19" customFormat="1" ht="36" customHeight="1" x14ac:dyDescent="0.25">
      <c r="A210" s="48"/>
      <c r="B210" s="78"/>
      <c r="C210" s="78"/>
      <c r="D210" s="198" t="s">
        <v>50</v>
      </c>
      <c r="E210" s="205"/>
      <c r="F210" s="198"/>
      <c r="G210" s="262">
        <f t="shared" ref="G210:N210" si="22">G204+G207</f>
        <v>268.3</v>
      </c>
      <c r="H210" s="262">
        <f t="shared" si="22"/>
        <v>197.7</v>
      </c>
      <c r="I210" s="262">
        <f t="shared" si="22"/>
        <v>63.199999999999996</v>
      </c>
      <c r="J210" s="262">
        <f t="shared" si="22"/>
        <v>30.340854536725871</v>
      </c>
      <c r="K210" s="262">
        <f t="shared" si="22"/>
        <v>303.62400000000002</v>
      </c>
      <c r="L210" s="262">
        <f t="shared" si="22"/>
        <v>303.62400000000002</v>
      </c>
      <c r="M210" s="262">
        <f t="shared" si="22"/>
        <v>50</v>
      </c>
      <c r="N210" s="262">
        <f t="shared" si="22"/>
        <v>50</v>
      </c>
      <c r="O210" s="27"/>
    </row>
    <row r="211" spans="1:15" s="51" customFormat="1" ht="43.5" customHeight="1" x14ac:dyDescent="0.25">
      <c r="A211" s="169">
        <v>7500000</v>
      </c>
      <c r="B211" s="176"/>
      <c r="C211" s="176"/>
      <c r="D211" s="181" t="s">
        <v>246</v>
      </c>
      <c r="E211" s="184"/>
      <c r="F211" s="173"/>
      <c r="G211" s="265"/>
      <c r="H211" s="265"/>
      <c r="I211" s="265"/>
      <c r="J211" s="265"/>
      <c r="K211" s="265"/>
      <c r="L211" s="265"/>
      <c r="M211" s="265"/>
      <c r="N211" s="265"/>
      <c r="O211" s="14"/>
    </row>
    <row r="212" spans="1:15" s="51" customFormat="1" ht="45.75" customHeight="1" x14ac:dyDescent="0.25">
      <c r="A212" s="187">
        <v>7510000</v>
      </c>
      <c r="B212" s="176"/>
      <c r="C212" s="176"/>
      <c r="D212" s="183" t="s">
        <v>246</v>
      </c>
      <c r="E212" s="184"/>
      <c r="F212" s="173"/>
      <c r="G212" s="265"/>
      <c r="H212" s="265"/>
      <c r="I212" s="265"/>
      <c r="J212" s="265"/>
      <c r="K212" s="265"/>
      <c r="L212" s="265"/>
      <c r="M212" s="265"/>
      <c r="N212" s="265"/>
      <c r="O212" s="14"/>
    </row>
    <row r="213" spans="1:15" s="51" customFormat="1" ht="21.75" customHeight="1" x14ac:dyDescent="0.25">
      <c r="A213" s="49" t="s">
        <v>247</v>
      </c>
      <c r="B213" s="49" t="s">
        <v>26</v>
      </c>
      <c r="C213" s="49" t="s">
        <v>30</v>
      </c>
      <c r="D213" s="28" t="s">
        <v>27</v>
      </c>
      <c r="E213" s="47"/>
      <c r="F213" s="13"/>
      <c r="G213" s="261">
        <f>G214</f>
        <v>1675</v>
      </c>
      <c r="H213" s="261">
        <f>H214</f>
        <v>340</v>
      </c>
      <c r="I213" s="261">
        <f>I214</f>
        <v>0</v>
      </c>
      <c r="J213" s="261">
        <f>I213/G213*100</f>
        <v>0</v>
      </c>
      <c r="K213" s="261">
        <f>K214</f>
        <v>0</v>
      </c>
      <c r="L213" s="261"/>
      <c r="M213" s="261"/>
      <c r="N213" s="261"/>
      <c r="O213" s="14"/>
    </row>
    <row r="214" spans="1:15" s="51" customFormat="1" ht="74.25" customHeight="1" x14ac:dyDescent="0.25">
      <c r="A214" s="42">
        <v>7518601</v>
      </c>
      <c r="B214" s="21" t="s">
        <v>29</v>
      </c>
      <c r="C214" s="21" t="s">
        <v>30</v>
      </c>
      <c r="D214" s="28" t="s">
        <v>27</v>
      </c>
      <c r="E214" s="28"/>
      <c r="F214" s="20" t="s">
        <v>273</v>
      </c>
      <c r="G214" s="260">
        <v>1675</v>
      </c>
      <c r="H214" s="260">
        <v>340</v>
      </c>
      <c r="I214" s="260">
        <v>0</v>
      </c>
      <c r="J214" s="260">
        <f>I214/G214*100</f>
        <v>0</v>
      </c>
      <c r="K214" s="260"/>
      <c r="L214" s="260"/>
      <c r="M214" s="260"/>
      <c r="N214" s="260"/>
      <c r="O214" s="14"/>
    </row>
    <row r="215" spans="1:15" s="19" customFormat="1" ht="27.75" customHeight="1" x14ac:dyDescent="0.25">
      <c r="A215" s="49"/>
      <c r="B215" s="49"/>
      <c r="C215" s="49"/>
      <c r="D215" s="219" t="s">
        <v>50</v>
      </c>
      <c r="E215" s="219"/>
      <c r="F215" s="219"/>
      <c r="G215" s="259">
        <f>G213</f>
        <v>1675</v>
      </c>
      <c r="H215" s="259">
        <f>H213</f>
        <v>340</v>
      </c>
      <c r="I215" s="259">
        <f>I213</f>
        <v>0</v>
      </c>
      <c r="J215" s="259">
        <f>I215/G215*100</f>
        <v>0</v>
      </c>
      <c r="K215" s="259">
        <f>K213</f>
        <v>0</v>
      </c>
      <c r="L215" s="259">
        <f>L213</f>
        <v>0</v>
      </c>
      <c r="M215" s="259">
        <f>M213</f>
        <v>0</v>
      </c>
      <c r="N215" s="259"/>
      <c r="O215" s="27"/>
    </row>
    <row r="216" spans="1:15" s="51" customFormat="1" ht="21.6" customHeight="1" x14ac:dyDescent="0.25">
      <c r="A216" s="92"/>
      <c r="B216" s="93"/>
      <c r="C216" s="93"/>
      <c r="D216" s="217" t="s">
        <v>248</v>
      </c>
      <c r="E216" s="217"/>
      <c r="F216" s="218"/>
      <c r="G216" s="280">
        <f>G25+G40+G80+G85+G100+G190+G201+G210+G215+G28</f>
        <v>34538.873999999996</v>
      </c>
      <c r="H216" s="276">
        <f>H25+H40+H80+H85+H100+H190+H201+H210+H215+H28</f>
        <v>15870.719000000001</v>
      </c>
      <c r="I216" s="276">
        <f>I25+I40+I80+I85+I100+I190+I201+I210+I215+I28</f>
        <v>11449.264660000003</v>
      </c>
      <c r="J216" s="276">
        <f>I216/G216*100</f>
        <v>33.148922747163105</v>
      </c>
      <c r="K216" s="276">
        <f>K25+K40+K80+K85+K100+K190+K201+K210+K215+K28</f>
        <v>41755.834000000003</v>
      </c>
      <c r="L216" s="276">
        <f>L25+L40+L80+L85+L100+L190+L201+L210+L215+L28</f>
        <v>14627.833999999999</v>
      </c>
      <c r="M216" s="276">
        <f>M25+M40+M80+M85+M100+M190+M201+M210+M215+M28</f>
        <v>1299.6234900000002</v>
      </c>
      <c r="N216" s="276">
        <f>M216/K216*100</f>
        <v>3.1124357137735532</v>
      </c>
      <c r="O216" s="14"/>
    </row>
    <row r="217" spans="1:15" s="15" customFormat="1" ht="34.5" customHeight="1" x14ac:dyDescent="0.25">
      <c r="A217" s="94"/>
      <c r="B217" s="95"/>
      <c r="C217" s="95"/>
      <c r="D217" s="96"/>
      <c r="E217" s="96"/>
      <c r="F217" s="65"/>
      <c r="G217" s="97"/>
      <c r="H217" s="97"/>
      <c r="I217" s="97"/>
      <c r="J217" s="97"/>
      <c r="K217" s="98"/>
      <c r="L217" s="98"/>
      <c r="M217" s="98"/>
      <c r="N217" s="98"/>
      <c r="O217" s="14"/>
    </row>
    <row r="218" spans="1:15" s="65" customFormat="1" ht="76.5" customHeight="1" x14ac:dyDescent="0.25">
      <c r="A218" s="94"/>
      <c r="B218" s="95"/>
      <c r="C218" s="95"/>
      <c r="D218" s="102"/>
      <c r="E218" s="102"/>
      <c r="G218" s="97"/>
      <c r="H218" s="97"/>
      <c r="I218" s="97"/>
      <c r="J218" s="97"/>
      <c r="K218" s="97"/>
      <c r="L218" s="97"/>
      <c r="M218" s="97"/>
      <c r="N218" s="97"/>
      <c r="O218" s="14"/>
    </row>
    <row r="219" spans="1:15" s="74" customFormat="1" ht="31.5" customHeight="1" x14ac:dyDescent="0.25">
      <c r="A219" s="8"/>
      <c r="B219" s="103"/>
      <c r="C219" s="103"/>
      <c r="D219" s="104"/>
      <c r="E219" s="104"/>
      <c r="G219" s="101"/>
      <c r="H219" s="101"/>
      <c r="I219" s="101"/>
      <c r="J219" s="101"/>
      <c r="K219" s="101"/>
      <c r="L219" s="101"/>
      <c r="M219" s="101"/>
      <c r="N219" s="101"/>
      <c r="O219" s="76"/>
    </row>
    <row r="220" spans="1:15" s="46" customFormat="1" ht="33" customHeight="1" x14ac:dyDescent="0.25">
      <c r="A220" s="100"/>
      <c r="B220" s="100"/>
      <c r="C220" s="100"/>
      <c r="D220" s="105"/>
      <c r="E220" s="105"/>
      <c r="F220" s="106"/>
      <c r="G220" s="101"/>
      <c r="H220" s="101"/>
      <c r="I220" s="101"/>
      <c r="J220" s="101"/>
      <c r="K220" s="97"/>
      <c r="L220" s="97"/>
      <c r="M220" s="97"/>
      <c r="N220" s="97"/>
      <c r="O220" s="27"/>
    </row>
    <row r="221" spans="1:15" s="15" customFormat="1" ht="16.5" customHeight="1" x14ac:dyDescent="0.25">
      <c r="A221" s="94"/>
      <c r="B221" s="95"/>
      <c r="C221" s="95"/>
      <c r="D221" s="107"/>
      <c r="E221" s="107"/>
      <c r="F221" s="65"/>
      <c r="G221" s="97"/>
      <c r="H221" s="97"/>
      <c r="I221" s="97"/>
      <c r="J221" s="97"/>
      <c r="K221" s="97"/>
      <c r="L221" s="97"/>
      <c r="M221" s="97"/>
      <c r="N221" s="97"/>
      <c r="O221" s="14"/>
    </row>
    <row r="222" spans="1:15" s="15" customFormat="1" ht="63" customHeight="1" x14ac:dyDescent="0.25">
      <c r="A222" s="108"/>
      <c r="B222" s="109"/>
      <c r="C222" s="109"/>
      <c r="D222" s="107"/>
      <c r="E222" s="107"/>
      <c r="F222" s="65"/>
      <c r="G222" s="97"/>
      <c r="H222" s="97"/>
      <c r="I222" s="97"/>
      <c r="J222" s="97"/>
      <c r="K222" s="97"/>
      <c r="L222" s="97"/>
      <c r="M222" s="97"/>
      <c r="N222" s="97"/>
      <c r="O222" s="14"/>
    </row>
    <row r="223" spans="1:15" s="46" customFormat="1" ht="77.25" customHeight="1" x14ac:dyDescent="0.25">
      <c r="A223" s="110"/>
      <c r="B223" s="111"/>
      <c r="C223" s="111"/>
      <c r="D223" s="112"/>
      <c r="E223" s="113"/>
      <c r="F223" s="64"/>
      <c r="G223" s="97"/>
      <c r="H223" s="97"/>
      <c r="I223" s="97"/>
      <c r="J223" s="97"/>
      <c r="K223" s="98"/>
      <c r="L223" s="98"/>
      <c r="M223" s="98"/>
      <c r="N223" s="98"/>
      <c r="O223" s="27"/>
    </row>
    <row r="224" spans="1:15" s="15" customFormat="1" ht="60.75" customHeight="1" x14ac:dyDescent="0.25">
      <c r="A224" s="94"/>
      <c r="B224" s="95"/>
      <c r="C224" s="95"/>
      <c r="D224" s="96"/>
      <c r="E224" s="96"/>
      <c r="F224" s="65"/>
      <c r="G224" s="97"/>
      <c r="H224" s="97"/>
      <c r="I224" s="97"/>
      <c r="J224" s="97"/>
      <c r="K224" s="97"/>
      <c r="L224" s="97"/>
      <c r="M224" s="97"/>
      <c r="N224" s="97"/>
      <c r="O224" s="14"/>
    </row>
    <row r="225" spans="1:15" s="15" customFormat="1" ht="20.25" customHeight="1" x14ac:dyDescent="0.25">
      <c r="A225" s="8"/>
      <c r="B225" s="103"/>
      <c r="C225" s="103"/>
      <c r="D225" s="74"/>
      <c r="E225" s="96"/>
      <c r="F225" s="65"/>
      <c r="G225" s="101"/>
      <c r="H225" s="101"/>
      <c r="I225" s="101"/>
      <c r="J225" s="101"/>
      <c r="K225" s="97"/>
      <c r="L225" s="97"/>
      <c r="M225" s="97"/>
      <c r="N225" s="97"/>
      <c r="O225" s="14"/>
    </row>
    <row r="226" spans="1:15" s="19" customFormat="1" ht="78" customHeight="1" collapsed="1" x14ac:dyDescent="0.25">
      <c r="A226" s="100"/>
      <c r="B226" s="100"/>
      <c r="C226" s="100"/>
      <c r="D226" s="114"/>
      <c r="E226" s="114"/>
      <c r="F226" s="64"/>
      <c r="G226" s="101"/>
      <c r="H226" s="101"/>
      <c r="I226" s="101"/>
      <c r="J226" s="101"/>
      <c r="K226" s="101"/>
      <c r="L226" s="101"/>
      <c r="M226" s="101"/>
      <c r="N226" s="101"/>
      <c r="O226" s="27"/>
    </row>
    <row r="227" spans="1:15" s="51" customFormat="1" ht="64.5" customHeight="1" x14ac:dyDescent="0.25">
      <c r="A227" s="115"/>
      <c r="B227" s="94"/>
      <c r="C227" s="94"/>
      <c r="D227" s="96"/>
      <c r="E227" s="96"/>
      <c r="F227" s="65"/>
      <c r="G227" s="97"/>
      <c r="H227" s="97"/>
      <c r="I227" s="97"/>
      <c r="J227" s="97"/>
      <c r="K227" s="97"/>
      <c r="L227" s="97"/>
      <c r="M227" s="97"/>
      <c r="N227" s="97"/>
      <c r="O227" s="14"/>
    </row>
    <row r="228" spans="1:15" s="51" customFormat="1" ht="30.75" customHeight="1" x14ac:dyDescent="0.25">
      <c r="A228" s="8"/>
      <c r="B228" s="8"/>
      <c r="C228" s="8"/>
      <c r="D228" s="74"/>
      <c r="E228" s="96"/>
      <c r="F228" s="65"/>
      <c r="G228" s="101"/>
      <c r="H228" s="101"/>
      <c r="I228" s="101"/>
      <c r="J228" s="101"/>
      <c r="K228" s="101"/>
      <c r="L228" s="101"/>
      <c r="M228" s="101"/>
      <c r="N228" s="101"/>
      <c r="O228" s="14"/>
    </row>
    <row r="229" spans="1:15" s="19" customFormat="1" ht="33.75" customHeight="1" x14ac:dyDescent="0.25">
      <c r="A229" s="100"/>
      <c r="B229" s="100"/>
      <c r="C229" s="100"/>
      <c r="D229" s="64"/>
      <c r="E229" s="64"/>
      <c r="F229" s="106"/>
      <c r="G229" s="101"/>
      <c r="H229" s="101"/>
      <c r="I229" s="101"/>
      <c r="J229" s="101"/>
      <c r="K229" s="101"/>
      <c r="L229" s="101"/>
      <c r="M229" s="101"/>
      <c r="N229" s="101"/>
      <c r="O229" s="27"/>
    </row>
    <row r="230" spans="1:15" s="19" customFormat="1" ht="31.5" customHeight="1" x14ac:dyDescent="0.25">
      <c r="A230" s="103"/>
      <c r="B230" s="103"/>
      <c r="C230" s="103"/>
      <c r="D230" s="74"/>
      <c r="E230" s="64"/>
      <c r="F230" s="106"/>
      <c r="G230" s="101"/>
      <c r="H230" s="101"/>
      <c r="I230" s="101"/>
      <c r="J230" s="101"/>
      <c r="K230" s="101"/>
      <c r="L230" s="101"/>
      <c r="M230" s="101"/>
      <c r="N230" s="101"/>
      <c r="O230" s="27"/>
    </row>
    <row r="231" spans="1:15" s="10" customFormat="1" ht="15.75" customHeight="1" x14ac:dyDescent="0.3">
      <c r="A231" s="116"/>
      <c r="B231" s="116"/>
      <c r="C231" s="116"/>
      <c r="D231" s="117"/>
      <c r="E231" s="64"/>
      <c r="F231" s="64"/>
      <c r="G231" s="101"/>
      <c r="H231" s="101"/>
      <c r="I231" s="101"/>
      <c r="J231" s="101"/>
      <c r="K231" s="101"/>
      <c r="L231" s="101"/>
      <c r="M231" s="101"/>
      <c r="N231" s="101"/>
      <c r="O231" s="27"/>
    </row>
    <row r="232" spans="1:15" s="10" customFormat="1" ht="31.5" customHeight="1" x14ac:dyDescent="0.25">
      <c r="A232" s="100"/>
      <c r="B232" s="100"/>
      <c r="C232" s="100"/>
      <c r="D232" s="118"/>
      <c r="E232" s="64"/>
      <c r="F232" s="64"/>
      <c r="G232" s="101"/>
      <c r="H232" s="101"/>
      <c r="I232" s="101"/>
      <c r="J232" s="101"/>
      <c r="K232" s="101"/>
      <c r="L232" s="101"/>
      <c r="M232" s="101"/>
      <c r="N232" s="101"/>
      <c r="O232" s="27"/>
    </row>
    <row r="233" spans="1:15" s="10" customFormat="1" ht="63.75" customHeight="1" x14ac:dyDescent="0.25">
      <c r="A233" s="100"/>
      <c r="B233" s="100"/>
      <c r="C233" s="100"/>
      <c r="D233" s="64"/>
      <c r="E233" s="64"/>
      <c r="F233" s="64"/>
      <c r="G233" s="101"/>
      <c r="H233" s="101"/>
      <c r="I233" s="101"/>
      <c r="J233" s="101"/>
      <c r="K233" s="101"/>
      <c r="L233" s="101"/>
      <c r="M233" s="101"/>
      <c r="N233" s="101"/>
      <c r="O233" s="27"/>
    </row>
    <row r="234" spans="1:15" s="51" customFormat="1" ht="61.5" customHeight="1" x14ac:dyDescent="0.25">
      <c r="A234" s="115"/>
      <c r="B234" s="94"/>
      <c r="C234" s="94"/>
      <c r="D234" s="96"/>
      <c r="E234" s="96"/>
      <c r="F234" s="65"/>
      <c r="G234" s="97"/>
      <c r="H234" s="97"/>
      <c r="I234" s="97"/>
      <c r="J234" s="97"/>
      <c r="K234" s="97"/>
      <c r="L234" s="97"/>
      <c r="M234" s="97"/>
      <c r="N234" s="97"/>
      <c r="O234" s="14"/>
    </row>
    <row r="235" spans="1:15" s="51" customFormat="1" ht="30" customHeight="1" x14ac:dyDescent="0.25">
      <c r="A235" s="8"/>
      <c r="B235" s="8"/>
      <c r="C235" s="8"/>
      <c r="D235" s="74"/>
      <c r="E235" s="74"/>
      <c r="F235" s="74"/>
      <c r="G235" s="101"/>
      <c r="H235" s="101"/>
      <c r="I235" s="101"/>
      <c r="J235" s="101"/>
      <c r="K235" s="101"/>
      <c r="L235" s="101"/>
      <c r="M235" s="101"/>
      <c r="N235" s="101"/>
      <c r="O235" s="76"/>
    </row>
    <row r="236" spans="1:15" s="46" customFormat="1" ht="30.75" customHeight="1" x14ac:dyDescent="0.25">
      <c r="A236" s="100"/>
      <c r="B236" s="100"/>
      <c r="C236" s="100"/>
      <c r="D236" s="64"/>
      <c r="E236" s="64"/>
      <c r="F236" s="64"/>
      <c r="G236" s="101"/>
      <c r="H236" s="101"/>
      <c r="I236" s="101"/>
      <c r="J236" s="101"/>
      <c r="K236" s="101"/>
      <c r="L236" s="101"/>
      <c r="M236" s="101"/>
      <c r="N236" s="101"/>
      <c r="O236" s="27"/>
    </row>
    <row r="237" spans="1:15" s="46" customFormat="1" ht="60.75" customHeight="1" x14ac:dyDescent="0.25">
      <c r="A237" s="100"/>
      <c r="B237" s="100"/>
      <c r="C237" s="100"/>
      <c r="D237" s="118"/>
      <c r="E237" s="64"/>
      <c r="F237" s="64"/>
      <c r="G237" s="101"/>
      <c r="H237" s="101"/>
      <c r="I237" s="101"/>
      <c r="J237" s="101"/>
      <c r="K237" s="101"/>
      <c r="L237" s="101"/>
      <c r="M237" s="101"/>
      <c r="N237" s="101"/>
      <c r="O237" s="27"/>
    </row>
    <row r="238" spans="1:15" s="46" customFormat="1" ht="48" customHeight="1" x14ac:dyDescent="0.25">
      <c r="A238" s="100"/>
      <c r="B238" s="100"/>
      <c r="C238" s="100"/>
      <c r="D238" s="64"/>
      <c r="E238" s="64"/>
      <c r="F238" s="64"/>
      <c r="G238" s="101"/>
      <c r="H238" s="101"/>
      <c r="I238" s="101"/>
      <c r="J238" s="101"/>
      <c r="K238" s="101"/>
      <c r="L238" s="101"/>
      <c r="M238" s="101"/>
      <c r="N238" s="101"/>
      <c r="O238" s="27"/>
    </row>
    <row r="239" spans="1:15" s="19" customFormat="1" ht="30.75" customHeight="1" x14ac:dyDescent="0.25">
      <c r="A239" s="119"/>
      <c r="B239" s="95"/>
      <c r="C239" s="95"/>
      <c r="D239" s="96"/>
      <c r="E239" s="96"/>
      <c r="F239" s="65"/>
      <c r="G239" s="97"/>
      <c r="H239" s="97"/>
      <c r="I239" s="97"/>
      <c r="J239" s="97"/>
      <c r="K239" s="97"/>
      <c r="L239" s="97"/>
      <c r="M239" s="97"/>
      <c r="N239" s="97"/>
      <c r="O239" s="14"/>
    </row>
    <row r="240" spans="1:15" s="51" customFormat="1" ht="15.75" customHeight="1" x14ac:dyDescent="0.25">
      <c r="A240" s="8"/>
      <c r="B240" s="103"/>
      <c r="C240" s="103"/>
      <c r="D240" s="74"/>
      <c r="E240" s="74"/>
      <c r="F240" s="74"/>
      <c r="G240" s="101"/>
      <c r="H240" s="101"/>
      <c r="I240" s="101"/>
      <c r="J240" s="101"/>
      <c r="K240" s="101"/>
      <c r="L240" s="101"/>
      <c r="M240" s="101"/>
      <c r="N240" s="101"/>
      <c r="O240" s="76"/>
    </row>
    <row r="241" spans="1:15" s="19" customFormat="1" ht="31.5" customHeight="1" x14ac:dyDescent="0.25">
      <c r="A241" s="99"/>
      <c r="B241" s="100"/>
      <c r="C241" s="100"/>
      <c r="D241" s="64"/>
      <c r="E241" s="64"/>
      <c r="F241" s="64"/>
      <c r="G241" s="101"/>
      <c r="H241" s="101"/>
      <c r="I241" s="101"/>
      <c r="J241" s="101"/>
      <c r="K241" s="101"/>
      <c r="L241" s="101"/>
      <c r="M241" s="101"/>
      <c r="N241" s="101"/>
      <c r="O241" s="27"/>
    </row>
    <row r="242" spans="1:15" s="15" customFormat="1" ht="21.75" customHeight="1" x14ac:dyDescent="0.25">
      <c r="A242" s="108"/>
      <c r="B242" s="109"/>
      <c r="C242" s="109"/>
      <c r="D242" s="107"/>
      <c r="E242" s="107"/>
      <c r="F242" s="65"/>
      <c r="G242" s="97"/>
      <c r="H242" s="97"/>
      <c r="I242" s="97"/>
      <c r="J242" s="97"/>
      <c r="K242" s="97"/>
      <c r="L242" s="97"/>
      <c r="M242" s="97"/>
      <c r="N242" s="97"/>
      <c r="O242" s="14"/>
    </row>
    <row r="243" spans="1:15" s="15" customFormat="1" ht="33.75" customHeight="1" x14ac:dyDescent="0.25">
      <c r="A243" s="108"/>
      <c r="B243" s="109"/>
      <c r="C243" s="109"/>
      <c r="D243" s="107"/>
      <c r="E243" s="107"/>
      <c r="F243" s="65"/>
      <c r="G243" s="97"/>
      <c r="H243" s="97"/>
      <c r="I243" s="97"/>
      <c r="J243" s="97"/>
      <c r="K243" s="97"/>
      <c r="L243" s="97"/>
      <c r="M243" s="97"/>
      <c r="N243" s="97"/>
      <c r="O243" s="14"/>
    </row>
    <row r="244" spans="1:15" s="19" customFormat="1" ht="55.5" customHeight="1" x14ac:dyDescent="0.25">
      <c r="A244" s="110"/>
      <c r="B244" s="120"/>
      <c r="C244" s="120"/>
      <c r="D244" s="121"/>
      <c r="E244" s="122"/>
      <c r="F244" s="10"/>
      <c r="G244" s="97"/>
      <c r="H244" s="97"/>
      <c r="I244" s="97"/>
      <c r="J244" s="97"/>
      <c r="K244" s="98"/>
      <c r="L244" s="98"/>
      <c r="M244" s="98"/>
      <c r="N244" s="98"/>
      <c r="O244" s="27"/>
    </row>
    <row r="245" spans="1:15" s="15" customFormat="1" ht="47.25" customHeight="1" x14ac:dyDescent="0.25">
      <c r="A245" s="108"/>
      <c r="B245" s="103"/>
      <c r="C245" s="103"/>
      <c r="D245" s="107"/>
      <c r="E245" s="107"/>
      <c r="F245" s="65"/>
      <c r="G245" s="97"/>
      <c r="H245" s="97"/>
      <c r="I245" s="97"/>
      <c r="J245" s="97"/>
      <c r="K245" s="97"/>
      <c r="L245" s="97"/>
      <c r="M245" s="97"/>
      <c r="N245" s="97"/>
      <c r="O245" s="14"/>
    </row>
    <row r="246" spans="1:15" s="19" customFormat="1" ht="31.5" customHeight="1" x14ac:dyDescent="0.25">
      <c r="A246" s="103"/>
      <c r="B246" s="103"/>
      <c r="C246" s="103"/>
      <c r="D246" s="104"/>
      <c r="E246" s="104"/>
      <c r="F246" s="74"/>
      <c r="G246" s="97"/>
      <c r="H246" s="97"/>
      <c r="I246" s="97"/>
      <c r="J246" s="97"/>
      <c r="K246" s="101"/>
      <c r="L246" s="101"/>
      <c r="M246" s="101"/>
      <c r="N246" s="101"/>
      <c r="O246" s="14"/>
    </row>
    <row r="247" spans="1:15" s="19" customFormat="1" ht="60.75" customHeight="1" x14ac:dyDescent="0.25">
      <c r="A247" s="103"/>
      <c r="B247" s="103"/>
      <c r="C247" s="103"/>
      <c r="D247" s="74"/>
      <c r="E247" s="74"/>
      <c r="F247" s="74"/>
      <c r="G247" s="97"/>
      <c r="H247" s="97"/>
      <c r="I247" s="97"/>
      <c r="J247" s="97"/>
      <c r="K247" s="101"/>
      <c r="L247" s="101"/>
      <c r="M247" s="101"/>
      <c r="N247" s="101"/>
      <c r="O247" s="14"/>
    </row>
    <row r="248" spans="1:15" s="19" customFormat="1" ht="47.25" customHeight="1" x14ac:dyDescent="0.25">
      <c r="A248" s="103"/>
      <c r="B248" s="103"/>
      <c r="C248" s="103"/>
      <c r="D248" s="74"/>
      <c r="E248" s="74"/>
      <c r="F248" s="74"/>
      <c r="G248" s="97"/>
      <c r="H248" s="97"/>
      <c r="I248" s="97"/>
      <c r="J248" s="97"/>
      <c r="K248" s="101"/>
      <c r="L248" s="101"/>
      <c r="M248" s="101"/>
      <c r="N248" s="101"/>
      <c r="O248" s="14"/>
    </row>
    <row r="249" spans="1:15" s="19" customFormat="1" ht="31.5" customHeight="1" x14ac:dyDescent="0.25">
      <c r="A249" s="103"/>
      <c r="B249" s="103"/>
      <c r="C249" s="103"/>
      <c r="D249" s="74"/>
      <c r="E249" s="74"/>
      <c r="F249" s="74"/>
      <c r="G249" s="97"/>
      <c r="H249" s="97"/>
      <c r="I249" s="97"/>
      <c r="J249" s="97"/>
      <c r="K249" s="101"/>
      <c r="L249" s="101"/>
      <c r="M249" s="101"/>
      <c r="N249" s="101"/>
      <c r="O249" s="14"/>
    </row>
    <row r="250" spans="1:15" s="19" customFormat="1" ht="45.75" customHeight="1" x14ac:dyDescent="0.25">
      <c r="A250" s="100"/>
      <c r="B250" s="100"/>
      <c r="C250" s="100"/>
      <c r="D250" s="64"/>
      <c r="E250" s="64"/>
      <c r="F250" s="64"/>
      <c r="G250" s="97"/>
      <c r="H250" s="97"/>
      <c r="I250" s="97"/>
      <c r="J250" s="97"/>
      <c r="K250" s="101"/>
      <c r="L250" s="101"/>
      <c r="M250" s="101"/>
      <c r="N250" s="101"/>
      <c r="O250" s="27"/>
    </row>
    <row r="251" spans="1:15" s="19" customFormat="1" ht="46.5" customHeight="1" x14ac:dyDescent="0.25">
      <c r="A251" s="103"/>
      <c r="B251" s="103"/>
      <c r="C251" s="103"/>
      <c r="D251" s="74"/>
      <c r="E251" s="74"/>
      <c r="F251" s="65"/>
      <c r="G251" s="97"/>
      <c r="H251" s="97"/>
      <c r="I251" s="97"/>
      <c r="J251" s="97"/>
      <c r="K251" s="97"/>
      <c r="L251" s="97"/>
      <c r="M251" s="97"/>
      <c r="N251" s="97"/>
      <c r="O251" s="14"/>
    </row>
    <row r="252" spans="1:15" s="19" customFormat="1" ht="35.25" customHeight="1" x14ac:dyDescent="0.25">
      <c r="A252" s="103"/>
      <c r="B252" s="103"/>
      <c r="C252" s="103"/>
      <c r="D252" s="74"/>
      <c r="E252" s="74"/>
      <c r="F252" s="74"/>
      <c r="G252" s="97"/>
      <c r="H252" s="97"/>
      <c r="I252" s="97"/>
      <c r="J252" s="97"/>
      <c r="K252" s="101"/>
      <c r="L252" s="101"/>
      <c r="M252" s="101"/>
      <c r="N252" s="101"/>
      <c r="O252" s="14"/>
    </row>
    <row r="253" spans="1:15" s="19" customFormat="1" ht="50.25" customHeight="1" x14ac:dyDescent="0.25">
      <c r="A253" s="119"/>
      <c r="B253" s="95"/>
      <c r="C253" s="95"/>
      <c r="D253" s="107"/>
      <c r="E253" s="102"/>
      <c r="F253" s="65"/>
      <c r="G253" s="97"/>
      <c r="H253" s="97"/>
      <c r="I253" s="97"/>
      <c r="J253" s="97"/>
      <c r="K253" s="97"/>
      <c r="L253" s="97"/>
      <c r="M253" s="97"/>
      <c r="N253" s="97"/>
      <c r="O253" s="14"/>
    </row>
    <row r="254" spans="1:15" s="15" customFormat="1" ht="30.75" customHeight="1" x14ac:dyDescent="0.25">
      <c r="A254" s="108"/>
      <c r="B254" s="109"/>
      <c r="C254" s="109"/>
      <c r="D254" s="107"/>
      <c r="E254" s="107"/>
      <c r="F254" s="65"/>
      <c r="G254" s="97"/>
      <c r="H254" s="97"/>
      <c r="I254" s="97"/>
      <c r="J254" s="97"/>
      <c r="K254" s="97"/>
      <c r="L254" s="97"/>
      <c r="M254" s="97"/>
      <c r="N254" s="97"/>
      <c r="O254" s="123"/>
    </row>
    <row r="255" spans="1:15" s="19" customFormat="1" ht="56.25" customHeight="1" x14ac:dyDescent="0.25">
      <c r="A255" s="110"/>
      <c r="B255" s="119"/>
      <c r="C255" s="119"/>
      <c r="D255" s="124"/>
      <c r="E255" s="113"/>
      <c r="F255" s="10"/>
      <c r="G255" s="97"/>
      <c r="H255" s="97"/>
      <c r="I255" s="97"/>
      <c r="J255" s="97"/>
      <c r="K255" s="98"/>
      <c r="L255" s="98"/>
      <c r="M255" s="98"/>
      <c r="N255" s="98"/>
      <c r="O255" s="27"/>
    </row>
    <row r="256" spans="1:15" s="19" customFormat="1" ht="44.25" customHeight="1" x14ac:dyDescent="0.25">
      <c r="A256" s="99"/>
      <c r="B256" s="109"/>
      <c r="C256" s="109"/>
      <c r="D256" s="125"/>
      <c r="E256" s="125"/>
      <c r="F256" s="65"/>
      <c r="G256" s="97"/>
      <c r="H256" s="97"/>
      <c r="I256" s="97"/>
      <c r="J256" s="97"/>
      <c r="K256" s="97"/>
      <c r="L256" s="97"/>
      <c r="M256" s="97"/>
      <c r="N256" s="97"/>
      <c r="O256" s="14"/>
    </row>
    <row r="257" spans="1:15" s="19" customFormat="1" ht="64.5" customHeight="1" x14ac:dyDescent="0.25">
      <c r="A257" s="8"/>
      <c r="B257" s="103"/>
      <c r="C257" s="103"/>
      <c r="D257" s="126"/>
      <c r="E257" s="125"/>
      <c r="F257" s="65"/>
      <c r="G257" s="101"/>
      <c r="H257" s="101"/>
      <c r="I257" s="101"/>
      <c r="J257" s="101"/>
      <c r="K257" s="101"/>
      <c r="L257" s="101"/>
      <c r="M257" s="101"/>
      <c r="N257" s="101"/>
      <c r="O257" s="14"/>
    </row>
    <row r="258" spans="1:15" s="19" customFormat="1" ht="50.25" customHeight="1" x14ac:dyDescent="0.25">
      <c r="A258" s="100"/>
      <c r="B258" s="100"/>
      <c r="C258" s="100"/>
      <c r="D258" s="64"/>
      <c r="E258" s="64"/>
      <c r="F258" s="64"/>
      <c r="G258" s="101"/>
      <c r="H258" s="101"/>
      <c r="I258" s="101"/>
      <c r="J258" s="101"/>
      <c r="K258" s="101"/>
      <c r="L258" s="101"/>
      <c r="M258" s="101"/>
      <c r="N258" s="101"/>
      <c r="O258" s="27"/>
    </row>
    <row r="259" spans="1:15" s="19" customFormat="1" ht="92.25" customHeight="1" x14ac:dyDescent="0.25">
      <c r="A259" s="100"/>
      <c r="B259" s="100"/>
      <c r="C259" s="100"/>
      <c r="D259" s="64"/>
      <c r="E259" s="64"/>
      <c r="F259" s="64"/>
      <c r="G259" s="101"/>
      <c r="H259" s="101"/>
      <c r="I259" s="101"/>
      <c r="J259" s="101"/>
      <c r="K259" s="101"/>
      <c r="L259" s="101"/>
      <c r="M259" s="101"/>
      <c r="N259" s="101"/>
      <c r="O259" s="27"/>
    </row>
    <row r="260" spans="1:15" s="19" customFormat="1" ht="22.5" customHeight="1" x14ac:dyDescent="0.25">
      <c r="A260" s="99"/>
      <c r="B260" s="103"/>
      <c r="C260" s="103"/>
      <c r="D260" s="107"/>
      <c r="E260" s="107"/>
      <c r="F260" s="65"/>
      <c r="G260" s="97"/>
      <c r="H260" s="97"/>
      <c r="I260" s="97"/>
      <c r="J260" s="97"/>
      <c r="K260" s="97"/>
      <c r="L260" s="97"/>
      <c r="M260" s="97"/>
      <c r="N260" s="97"/>
      <c r="O260" s="14"/>
    </row>
    <row r="261" spans="1:15" s="15" customFormat="1" ht="33" customHeight="1" x14ac:dyDescent="0.25">
      <c r="A261" s="108"/>
      <c r="B261" s="109"/>
      <c r="C261" s="109"/>
      <c r="D261" s="107"/>
      <c r="E261" s="107"/>
      <c r="F261" s="65"/>
      <c r="G261" s="97"/>
      <c r="H261" s="97"/>
      <c r="I261" s="97"/>
      <c r="J261" s="97"/>
      <c r="K261" s="97"/>
      <c r="L261" s="97"/>
      <c r="M261" s="97"/>
      <c r="N261" s="97"/>
      <c r="O261" s="75"/>
    </row>
    <row r="262" spans="1:15" s="19" customFormat="1" ht="33.75" customHeight="1" x14ac:dyDescent="0.25">
      <c r="A262" s="110"/>
      <c r="B262" s="100"/>
      <c r="C262" s="100"/>
      <c r="D262" s="127"/>
      <c r="E262" s="127"/>
      <c r="F262" s="10"/>
      <c r="G262" s="97"/>
      <c r="H262" s="97"/>
      <c r="I262" s="97"/>
      <c r="J262" s="97"/>
      <c r="K262" s="97"/>
      <c r="L262" s="97"/>
      <c r="M262" s="97"/>
      <c r="N262" s="97"/>
      <c r="O262" s="27"/>
    </row>
    <row r="263" spans="1:15" s="19" customFormat="1" ht="46.5" customHeight="1" x14ac:dyDescent="0.25">
      <c r="A263" s="99"/>
      <c r="B263" s="103"/>
      <c r="C263" s="103"/>
      <c r="D263" s="107"/>
      <c r="E263" s="107"/>
      <c r="F263" s="65"/>
      <c r="G263" s="97"/>
      <c r="H263" s="97"/>
      <c r="I263" s="97"/>
      <c r="J263" s="97"/>
      <c r="K263" s="97"/>
      <c r="L263" s="97"/>
      <c r="M263" s="97"/>
      <c r="N263" s="97"/>
      <c r="O263" s="14"/>
    </row>
    <row r="264" spans="1:15" s="19" customFormat="1" ht="33" customHeight="1" x14ac:dyDescent="0.25">
      <c r="A264" s="8"/>
      <c r="B264" s="103"/>
      <c r="C264" s="103"/>
      <c r="D264" s="104"/>
      <c r="E264" s="107"/>
      <c r="F264" s="74"/>
      <c r="G264" s="101"/>
      <c r="H264" s="101"/>
      <c r="I264" s="101"/>
      <c r="J264" s="101"/>
      <c r="K264" s="101"/>
      <c r="L264" s="101"/>
      <c r="M264" s="101"/>
      <c r="N264" s="101"/>
      <c r="O264" s="14"/>
    </row>
    <row r="265" spans="1:15" s="19" customFormat="1" ht="35.25" customHeight="1" x14ac:dyDescent="0.25">
      <c r="A265" s="8"/>
      <c r="B265" s="103"/>
      <c r="C265" s="103"/>
      <c r="D265" s="107"/>
      <c r="E265" s="107"/>
      <c r="F265" s="74"/>
      <c r="G265" s="97"/>
      <c r="H265" s="97"/>
      <c r="I265" s="97"/>
      <c r="J265" s="97"/>
      <c r="K265" s="97"/>
      <c r="L265" s="97"/>
      <c r="M265" s="97"/>
      <c r="N265" s="97"/>
      <c r="O265" s="14"/>
    </row>
    <row r="266" spans="1:15" s="19" customFormat="1" ht="38.25" customHeight="1" x14ac:dyDescent="0.25">
      <c r="A266" s="108"/>
      <c r="B266" s="109"/>
      <c r="C266" s="109"/>
      <c r="D266" s="107"/>
      <c r="E266" s="107"/>
      <c r="F266" s="74"/>
      <c r="G266" s="97"/>
      <c r="H266" s="97"/>
      <c r="I266" s="97"/>
      <c r="J266" s="97"/>
      <c r="K266" s="97"/>
      <c r="L266" s="97"/>
      <c r="M266" s="97"/>
      <c r="N266" s="97"/>
      <c r="O266" s="14"/>
    </row>
    <row r="267" spans="1:15" s="19" customFormat="1" ht="60" customHeight="1" x14ac:dyDescent="0.25">
      <c r="A267" s="110"/>
      <c r="B267" s="100"/>
      <c r="C267" s="100"/>
      <c r="D267" s="128"/>
      <c r="E267" s="127"/>
      <c r="F267" s="10"/>
      <c r="G267" s="97"/>
      <c r="H267" s="97"/>
      <c r="I267" s="97"/>
      <c r="J267" s="97"/>
      <c r="K267" s="97"/>
      <c r="L267" s="97"/>
      <c r="M267" s="97"/>
      <c r="N267" s="97"/>
      <c r="O267" s="27"/>
    </row>
    <row r="268" spans="1:15" s="19" customFormat="1" ht="48" customHeight="1" x14ac:dyDescent="0.25">
      <c r="A268" s="99"/>
      <c r="B268" s="103"/>
      <c r="C268" s="103"/>
      <c r="D268" s="107"/>
      <c r="E268" s="107"/>
      <c r="F268" s="65"/>
      <c r="G268" s="97"/>
      <c r="H268" s="97"/>
      <c r="I268" s="97"/>
      <c r="J268" s="97"/>
      <c r="K268" s="97"/>
      <c r="L268" s="97"/>
      <c r="M268" s="97"/>
      <c r="N268" s="97"/>
      <c r="O268" s="14"/>
    </row>
    <row r="269" spans="1:15" s="19" customFormat="1" ht="34.5" customHeight="1" x14ac:dyDescent="0.25">
      <c r="A269" s="8"/>
      <c r="B269" s="103"/>
      <c r="C269" s="103"/>
      <c r="D269" s="104"/>
      <c r="E269" s="107"/>
      <c r="F269" s="51"/>
      <c r="G269" s="101"/>
      <c r="H269" s="101"/>
      <c r="I269" s="101"/>
      <c r="J269" s="101"/>
      <c r="K269" s="101"/>
      <c r="L269" s="101"/>
      <c r="M269" s="101"/>
      <c r="N269" s="101"/>
      <c r="O269" s="14"/>
    </row>
    <row r="270" spans="1:15" s="19" customFormat="1" ht="35.25" customHeight="1" x14ac:dyDescent="0.25">
      <c r="A270" s="8"/>
      <c r="B270" s="103"/>
      <c r="C270" s="103"/>
      <c r="D270" s="104"/>
      <c r="E270" s="107"/>
      <c r="F270" s="65"/>
      <c r="G270" s="101"/>
      <c r="H270" s="101"/>
      <c r="I270" s="101"/>
      <c r="J270" s="101"/>
      <c r="K270" s="97"/>
      <c r="L270" s="97"/>
      <c r="M270" s="97"/>
      <c r="N270" s="97"/>
      <c r="O270" s="14"/>
    </row>
    <row r="271" spans="1:15" s="19" customFormat="1" ht="34.5" customHeight="1" x14ac:dyDescent="0.25">
      <c r="A271" s="8"/>
      <c r="B271" s="103"/>
      <c r="C271" s="103"/>
      <c r="D271" s="104"/>
      <c r="E271" s="107"/>
      <c r="F271" s="51"/>
      <c r="G271" s="101"/>
      <c r="H271" s="101"/>
      <c r="I271" s="101"/>
      <c r="J271" s="101"/>
      <c r="K271" s="101"/>
      <c r="L271" s="101"/>
      <c r="M271" s="101"/>
      <c r="N271" s="101"/>
      <c r="O271" s="14"/>
    </row>
    <row r="272" spans="1:15" s="19" customFormat="1" ht="21" customHeight="1" x14ac:dyDescent="0.25">
      <c r="A272" s="8"/>
      <c r="B272" s="103"/>
      <c r="C272" s="103"/>
      <c r="D272" s="107"/>
      <c r="E272" s="107"/>
      <c r="F272" s="74"/>
      <c r="G272" s="97"/>
      <c r="H272" s="97"/>
      <c r="I272" s="97"/>
      <c r="J272" s="97"/>
      <c r="K272" s="97"/>
      <c r="L272" s="97"/>
      <c r="M272" s="97"/>
      <c r="N272" s="97"/>
      <c r="O272" s="14"/>
    </row>
    <row r="273" spans="1:261" s="19" customFormat="1" ht="58.5" customHeight="1" x14ac:dyDescent="0.25">
      <c r="A273" s="109"/>
      <c r="B273" s="109"/>
      <c r="C273" s="109"/>
      <c r="D273" s="129"/>
      <c r="E273" s="107"/>
      <c r="F273" s="74"/>
      <c r="G273" s="97"/>
      <c r="H273" s="97"/>
      <c r="I273" s="97"/>
      <c r="J273" s="97"/>
      <c r="K273" s="97"/>
      <c r="L273" s="97"/>
      <c r="M273" s="97"/>
      <c r="N273" s="97"/>
      <c r="O273" s="14"/>
    </row>
    <row r="274" spans="1:261" s="19" customFormat="1" ht="57.75" customHeight="1" x14ac:dyDescent="0.25">
      <c r="A274" s="110"/>
      <c r="B274" s="119"/>
      <c r="C274" s="119"/>
      <c r="D274" s="130"/>
      <c r="E274" s="131"/>
      <c r="F274" s="10"/>
      <c r="G274" s="97"/>
      <c r="H274" s="97"/>
      <c r="I274" s="97"/>
      <c r="J274" s="97"/>
      <c r="K274" s="98"/>
      <c r="L274" s="98"/>
      <c r="M274" s="98"/>
      <c r="N274" s="98"/>
      <c r="O274" s="27"/>
    </row>
    <row r="275" spans="1:261" s="19" customFormat="1" ht="50.25" customHeight="1" x14ac:dyDescent="0.25">
      <c r="A275" s="8"/>
      <c r="B275" s="103"/>
      <c r="C275" s="103"/>
      <c r="D275" s="107"/>
      <c r="E275" s="107"/>
      <c r="F275" s="65"/>
      <c r="G275" s="97"/>
      <c r="H275" s="97"/>
      <c r="I275" s="97"/>
      <c r="J275" s="97"/>
      <c r="K275" s="97"/>
      <c r="L275" s="97"/>
      <c r="M275" s="97"/>
      <c r="N275" s="97"/>
      <c r="O275" s="14"/>
    </row>
    <row r="276" spans="1:261" s="19" customFormat="1" ht="17.25" customHeight="1" x14ac:dyDescent="0.25">
      <c r="A276" s="103"/>
      <c r="B276" s="103"/>
      <c r="C276" s="103"/>
      <c r="D276" s="74"/>
      <c r="E276" s="74"/>
      <c r="F276" s="74"/>
      <c r="G276" s="101"/>
      <c r="H276" s="101"/>
      <c r="I276" s="101"/>
      <c r="J276" s="101"/>
      <c r="K276" s="101"/>
      <c r="L276" s="101"/>
      <c r="M276" s="101"/>
      <c r="N276" s="101"/>
      <c r="O276" s="14"/>
    </row>
    <row r="277" spans="1:261" s="19" customFormat="1" ht="67.5" customHeight="1" x14ac:dyDescent="0.25">
      <c r="A277" s="8"/>
      <c r="B277" s="109"/>
      <c r="C277" s="109"/>
      <c r="D277" s="107"/>
      <c r="E277" s="107"/>
      <c r="F277" s="65"/>
      <c r="G277" s="97"/>
      <c r="H277" s="97"/>
      <c r="I277" s="97"/>
      <c r="J277" s="97"/>
      <c r="K277" s="97"/>
      <c r="L277" s="97"/>
      <c r="M277" s="97"/>
      <c r="N277" s="97"/>
      <c r="O277" s="14"/>
    </row>
    <row r="278" spans="1:261" s="19" customFormat="1" ht="57" customHeight="1" x14ac:dyDescent="0.25">
      <c r="A278" s="132"/>
      <c r="B278" s="109"/>
      <c r="C278" s="109"/>
      <c r="D278" s="129"/>
      <c r="E278" s="107"/>
      <c r="F278" s="65"/>
      <c r="G278" s="97"/>
      <c r="H278" s="97"/>
      <c r="I278" s="97"/>
      <c r="J278" s="97"/>
      <c r="K278" s="97"/>
      <c r="L278" s="97"/>
      <c r="M278" s="97"/>
      <c r="N278" s="97"/>
      <c r="O278" s="14"/>
    </row>
    <row r="279" spans="1:261" s="19" customFormat="1" ht="60" customHeight="1" x14ac:dyDescent="0.25">
      <c r="A279" s="110"/>
      <c r="B279" s="119"/>
      <c r="C279" s="119"/>
      <c r="D279" s="124"/>
      <c r="E279" s="113"/>
      <c r="F279" s="10"/>
      <c r="G279" s="97"/>
      <c r="H279" s="97"/>
      <c r="I279" s="97"/>
      <c r="J279" s="97"/>
      <c r="K279" s="98"/>
      <c r="L279" s="98"/>
      <c r="M279" s="98"/>
      <c r="N279" s="98"/>
      <c r="O279" s="27"/>
    </row>
    <row r="280" spans="1:261" s="65" customFormat="1" ht="61.5" customHeight="1" x14ac:dyDescent="0.25">
      <c r="A280" s="108"/>
      <c r="B280" s="103"/>
      <c r="C280" s="103"/>
      <c r="D280" s="74"/>
      <c r="E280" s="74"/>
      <c r="G280" s="97"/>
      <c r="H280" s="97"/>
      <c r="I280" s="97"/>
      <c r="J280" s="97"/>
      <c r="K280" s="97"/>
      <c r="L280" s="97"/>
      <c r="M280" s="97"/>
      <c r="N280" s="97"/>
      <c r="O280" s="14"/>
    </row>
    <row r="281" spans="1:261" s="65" customFormat="1" ht="61.5" customHeight="1" x14ac:dyDescent="0.25">
      <c r="A281" s="8"/>
      <c r="B281" s="103"/>
      <c r="C281" s="103"/>
      <c r="D281" s="126"/>
      <c r="E281" s="74"/>
      <c r="G281" s="101"/>
      <c r="H281" s="101"/>
      <c r="I281" s="101"/>
      <c r="J281" s="101"/>
      <c r="K281" s="101"/>
      <c r="L281" s="101"/>
      <c r="M281" s="101"/>
      <c r="N281" s="101"/>
      <c r="O281" s="14"/>
    </row>
    <row r="282" spans="1:261" s="10" customFormat="1" ht="48.75" customHeight="1" x14ac:dyDescent="0.25">
      <c r="A282" s="100"/>
      <c r="B282" s="100"/>
      <c r="C282" s="100"/>
      <c r="D282" s="64"/>
      <c r="E282" s="64"/>
      <c r="F282" s="106"/>
      <c r="G282" s="101"/>
      <c r="H282" s="101"/>
      <c r="I282" s="101"/>
      <c r="J282" s="101"/>
      <c r="K282" s="101"/>
      <c r="L282" s="101"/>
      <c r="M282" s="101"/>
      <c r="N282" s="101"/>
      <c r="O282" s="27"/>
    </row>
    <row r="283" spans="1:261" s="65" customFormat="1" ht="16.5" customHeight="1" x14ac:dyDescent="0.25">
      <c r="A283" s="108"/>
      <c r="B283" s="109"/>
      <c r="C283" s="109"/>
      <c r="D283" s="107"/>
      <c r="E283" s="107"/>
      <c r="G283" s="97"/>
      <c r="H283" s="97"/>
      <c r="I283" s="97"/>
      <c r="J283" s="97"/>
      <c r="K283" s="97"/>
      <c r="L283" s="97"/>
      <c r="M283" s="97"/>
      <c r="N283" s="97"/>
      <c r="O283" s="14"/>
    </row>
    <row r="284" spans="1:261" s="65" customFormat="1" ht="55.5" customHeight="1" x14ac:dyDescent="0.25">
      <c r="A284" s="132"/>
      <c r="B284" s="109"/>
      <c r="C284" s="109"/>
      <c r="D284" s="129"/>
      <c r="E284" s="132"/>
      <c r="F284" s="109"/>
      <c r="G284" s="109"/>
      <c r="H284" s="109"/>
      <c r="I284" s="109"/>
      <c r="J284" s="109"/>
      <c r="K284" s="129"/>
      <c r="L284" s="129"/>
      <c r="M284" s="129"/>
      <c r="N284" s="129"/>
      <c r="O284" s="109"/>
      <c r="P284" s="109"/>
      <c r="Q284" s="129"/>
      <c r="R284" s="132"/>
      <c r="S284" s="109"/>
      <c r="T284" s="109"/>
      <c r="U284" s="129"/>
      <c r="V284" s="132"/>
      <c r="W284" s="109"/>
      <c r="X284" s="109"/>
      <c r="Y284" s="129"/>
      <c r="Z284" s="132"/>
      <c r="AA284" s="109"/>
      <c r="AB284" s="109"/>
      <c r="AC284" s="129"/>
      <c r="AD284" s="132"/>
      <c r="AE284" s="109"/>
      <c r="AF284" s="109"/>
      <c r="AG284" s="129"/>
      <c r="AH284" s="132"/>
      <c r="AI284" s="109"/>
      <c r="AJ284" s="109"/>
      <c r="AK284" s="129"/>
      <c r="AL284" s="132"/>
      <c r="AM284" s="109"/>
      <c r="AN284" s="109"/>
      <c r="AO284" s="129"/>
      <c r="AP284" s="132"/>
      <c r="AQ284" s="109"/>
      <c r="AR284" s="109"/>
      <c r="AS284" s="129"/>
      <c r="AT284" s="132"/>
      <c r="AU284" s="109"/>
      <c r="AV284" s="109"/>
      <c r="AW284" s="129"/>
      <c r="AX284" s="132"/>
      <c r="AY284" s="109"/>
      <c r="AZ284" s="109"/>
      <c r="BA284" s="129"/>
      <c r="BB284" s="132"/>
      <c r="BC284" s="109"/>
      <c r="BD284" s="109"/>
      <c r="BE284" s="129"/>
      <c r="BF284" s="132"/>
      <c r="BG284" s="109"/>
      <c r="BH284" s="109"/>
      <c r="BI284" s="129"/>
      <c r="BJ284" s="132"/>
      <c r="BK284" s="109"/>
      <c r="BL284" s="109"/>
      <c r="BM284" s="129"/>
      <c r="BN284" s="132"/>
      <c r="BO284" s="109"/>
      <c r="BP284" s="109"/>
      <c r="BQ284" s="129"/>
      <c r="BR284" s="132"/>
      <c r="BS284" s="109"/>
      <c r="BT284" s="109"/>
      <c r="BU284" s="129"/>
      <c r="BV284" s="132"/>
      <c r="BW284" s="109"/>
      <c r="BX284" s="109"/>
      <c r="BY284" s="129"/>
      <c r="BZ284" s="132"/>
      <c r="CA284" s="109"/>
      <c r="CB284" s="109"/>
      <c r="CC284" s="129"/>
      <c r="CD284" s="132"/>
      <c r="CE284" s="109"/>
      <c r="CF284" s="109"/>
      <c r="CG284" s="129"/>
      <c r="CH284" s="132"/>
      <c r="CI284" s="109"/>
      <c r="CJ284" s="109"/>
      <c r="CK284" s="129"/>
      <c r="CL284" s="132"/>
      <c r="CM284" s="109"/>
      <c r="CN284" s="109"/>
      <c r="CO284" s="129"/>
      <c r="CP284" s="132"/>
      <c r="CQ284" s="109"/>
      <c r="CR284" s="109"/>
      <c r="CS284" s="129"/>
      <c r="CT284" s="132"/>
      <c r="CU284" s="109"/>
      <c r="CV284" s="109"/>
      <c r="CW284" s="129"/>
      <c r="CX284" s="132"/>
      <c r="CY284" s="109"/>
      <c r="CZ284" s="109"/>
      <c r="DA284" s="129"/>
      <c r="DB284" s="132"/>
      <c r="DC284" s="109"/>
      <c r="DD284" s="109"/>
      <c r="DE284" s="129"/>
      <c r="DF284" s="132"/>
      <c r="DG284" s="109"/>
      <c r="DH284" s="109"/>
      <c r="DI284" s="129"/>
      <c r="DJ284" s="132"/>
      <c r="DK284" s="109"/>
      <c r="DL284" s="109"/>
      <c r="DM284" s="129"/>
      <c r="DN284" s="132"/>
      <c r="DO284" s="109"/>
      <c r="DP284" s="109"/>
      <c r="DQ284" s="129"/>
      <c r="DR284" s="132"/>
      <c r="DS284" s="109"/>
      <c r="DT284" s="109"/>
      <c r="DU284" s="129"/>
      <c r="DV284" s="132"/>
      <c r="DW284" s="109"/>
      <c r="DX284" s="109"/>
      <c r="DY284" s="129"/>
      <c r="DZ284" s="132"/>
      <c r="EA284" s="109"/>
      <c r="EB284" s="109"/>
      <c r="EC284" s="129"/>
      <c r="ED284" s="132"/>
      <c r="EE284" s="109"/>
      <c r="EF284" s="109"/>
      <c r="EG284" s="129"/>
      <c r="EH284" s="132"/>
      <c r="EI284" s="109"/>
      <c r="EJ284" s="109"/>
      <c r="EK284" s="129"/>
      <c r="EL284" s="132"/>
      <c r="EM284" s="109"/>
      <c r="EN284" s="109"/>
      <c r="EO284" s="129"/>
      <c r="EP284" s="132"/>
      <c r="EQ284" s="109"/>
      <c r="ER284" s="109"/>
      <c r="ES284" s="129"/>
      <c r="ET284" s="132"/>
      <c r="EU284" s="109"/>
      <c r="EV284" s="109"/>
      <c r="EW284" s="129"/>
      <c r="EX284" s="132"/>
      <c r="EY284" s="109"/>
      <c r="EZ284" s="109"/>
      <c r="FA284" s="129"/>
      <c r="FB284" s="132"/>
      <c r="FC284" s="109"/>
      <c r="FD284" s="109"/>
      <c r="FE284" s="129"/>
      <c r="FF284" s="132"/>
      <c r="FG284" s="109"/>
      <c r="FH284" s="109"/>
      <c r="FI284" s="129"/>
      <c r="FJ284" s="132"/>
      <c r="FK284" s="109"/>
      <c r="FL284" s="109"/>
      <c r="FM284" s="129"/>
      <c r="FN284" s="132"/>
      <c r="FO284" s="109"/>
      <c r="FP284" s="109"/>
      <c r="FQ284" s="129"/>
      <c r="FR284" s="132"/>
      <c r="FS284" s="109"/>
      <c r="FT284" s="109"/>
      <c r="FU284" s="129"/>
      <c r="FV284" s="132"/>
      <c r="FW284" s="109"/>
      <c r="FX284" s="109"/>
      <c r="FY284" s="129"/>
      <c r="FZ284" s="132"/>
      <c r="GA284" s="109"/>
      <c r="GB284" s="109"/>
      <c r="GC284" s="129"/>
      <c r="GD284" s="132"/>
      <c r="GE284" s="109"/>
      <c r="GF284" s="109"/>
      <c r="GG284" s="129"/>
      <c r="GH284" s="132"/>
      <c r="GI284" s="109"/>
      <c r="GJ284" s="109"/>
      <c r="GK284" s="129"/>
      <c r="GL284" s="132"/>
      <c r="GM284" s="109"/>
      <c r="GN284" s="109"/>
      <c r="GO284" s="129"/>
      <c r="GP284" s="132"/>
      <c r="GQ284" s="109"/>
      <c r="GR284" s="109"/>
      <c r="GS284" s="129"/>
      <c r="GT284" s="132"/>
      <c r="GU284" s="109"/>
      <c r="GV284" s="109"/>
      <c r="GW284" s="129"/>
      <c r="GX284" s="132"/>
      <c r="GY284" s="109"/>
      <c r="GZ284" s="109"/>
      <c r="HA284" s="129"/>
      <c r="HB284" s="132"/>
      <c r="HC284" s="109"/>
      <c r="HD284" s="109"/>
      <c r="HE284" s="129"/>
      <c r="HF284" s="132"/>
      <c r="HG284" s="109"/>
      <c r="HH284" s="109"/>
      <c r="HI284" s="129"/>
      <c r="HJ284" s="132"/>
      <c r="HK284" s="109"/>
      <c r="HL284" s="109"/>
      <c r="HM284" s="129"/>
      <c r="HN284" s="132"/>
      <c r="HO284" s="109"/>
      <c r="HP284" s="109"/>
      <c r="HQ284" s="129"/>
      <c r="HR284" s="132"/>
      <c r="HS284" s="109"/>
      <c r="HT284" s="109"/>
      <c r="HU284" s="129"/>
      <c r="HV284" s="132"/>
      <c r="HW284" s="109"/>
      <c r="HX284" s="109"/>
      <c r="HY284" s="129"/>
      <c r="HZ284" s="132"/>
      <c r="IA284" s="109"/>
      <c r="IB284" s="109"/>
      <c r="IC284" s="129"/>
      <c r="ID284" s="132"/>
      <c r="IE284" s="109"/>
      <c r="IF284" s="109"/>
      <c r="IG284" s="129"/>
      <c r="IH284" s="132"/>
      <c r="II284" s="109"/>
      <c r="IJ284" s="109"/>
      <c r="IK284" s="129"/>
      <c r="IL284" s="132"/>
      <c r="IM284" s="109"/>
      <c r="IN284" s="109"/>
      <c r="IO284" s="129"/>
      <c r="IP284" s="132"/>
      <c r="IQ284" s="109"/>
      <c r="IR284" s="109"/>
      <c r="IS284" s="129"/>
      <c r="IT284" s="132"/>
      <c r="IU284" s="109"/>
      <c r="IV284" s="109"/>
      <c r="IW284" s="129"/>
      <c r="IX284" s="132"/>
      <c r="IY284" s="109"/>
      <c r="IZ284" s="109"/>
      <c r="JA284" s="129"/>
    </row>
    <row r="285" spans="1:261" s="10" customFormat="1" ht="62.25" customHeight="1" x14ac:dyDescent="0.25">
      <c r="A285" s="110"/>
      <c r="B285" s="111"/>
      <c r="C285" s="111"/>
      <c r="D285" s="124"/>
      <c r="E285" s="113"/>
      <c r="G285" s="97"/>
      <c r="H285" s="97"/>
      <c r="I285" s="97"/>
      <c r="J285" s="97"/>
      <c r="K285" s="98"/>
      <c r="L285" s="98"/>
      <c r="M285" s="98"/>
      <c r="N285" s="98"/>
      <c r="O285" s="27"/>
    </row>
    <row r="286" spans="1:261" s="65" customFormat="1" ht="52.5" customHeight="1" x14ac:dyDescent="0.25">
      <c r="A286" s="108"/>
      <c r="B286" s="109"/>
      <c r="C286" s="109"/>
      <c r="D286" s="107"/>
      <c r="E286" s="107"/>
      <c r="G286" s="97"/>
      <c r="H286" s="97"/>
      <c r="I286" s="97"/>
      <c r="J286" s="97"/>
      <c r="K286" s="97"/>
      <c r="L286" s="97"/>
      <c r="M286" s="97"/>
      <c r="N286" s="97"/>
      <c r="O286" s="14"/>
    </row>
    <row r="287" spans="1:261" s="65" customFormat="1" ht="47.25" customHeight="1" x14ac:dyDescent="0.25">
      <c r="A287" s="103"/>
      <c r="B287" s="103"/>
      <c r="C287" s="103"/>
      <c r="D287" s="74"/>
      <c r="E287" s="74"/>
      <c r="F287" s="74"/>
      <c r="G287" s="101"/>
      <c r="H287" s="101"/>
      <c r="I287" s="101"/>
      <c r="J287" s="101"/>
      <c r="K287" s="97"/>
      <c r="L287" s="97"/>
      <c r="M287" s="97"/>
      <c r="N287" s="97"/>
      <c r="O287" s="14"/>
    </row>
    <row r="288" spans="1:261" s="10" customFormat="1" ht="78" customHeight="1" x14ac:dyDescent="0.25">
      <c r="A288" s="100"/>
      <c r="B288" s="100"/>
      <c r="C288" s="100"/>
      <c r="D288" s="118"/>
      <c r="E288" s="64"/>
      <c r="F288" s="64"/>
      <c r="G288" s="101"/>
      <c r="H288" s="101"/>
      <c r="I288" s="101"/>
      <c r="J288" s="101"/>
      <c r="K288" s="97"/>
      <c r="L288" s="97"/>
      <c r="M288" s="97"/>
      <c r="N288" s="97"/>
      <c r="O288" s="27"/>
    </row>
    <row r="289" spans="1:15" s="10" customFormat="1" ht="45.75" customHeight="1" x14ac:dyDescent="0.25">
      <c r="A289" s="100"/>
      <c r="B289" s="100"/>
      <c r="C289" s="100"/>
      <c r="D289" s="64"/>
      <c r="E289" s="64"/>
      <c r="F289" s="64"/>
      <c r="G289" s="101"/>
      <c r="H289" s="101"/>
      <c r="I289" s="101"/>
      <c r="J289" s="101"/>
      <c r="K289" s="97"/>
      <c r="L289" s="97"/>
      <c r="M289" s="97"/>
      <c r="N289" s="97"/>
      <c r="O289" s="27"/>
    </row>
    <row r="290" spans="1:15" s="64" customFormat="1" ht="26.25" customHeight="1" x14ac:dyDescent="0.25">
      <c r="A290" s="99"/>
      <c r="B290" s="103"/>
      <c r="C290" s="103"/>
      <c r="D290" s="107"/>
      <c r="E290" s="107"/>
      <c r="F290" s="65"/>
      <c r="G290" s="97"/>
      <c r="H290" s="97"/>
      <c r="I290" s="97"/>
      <c r="J290" s="97"/>
      <c r="K290" s="97"/>
      <c r="L290" s="97"/>
      <c r="M290" s="97"/>
      <c r="N290" s="97"/>
      <c r="O290" s="14"/>
    </row>
    <row r="291" spans="1:15" s="65" customFormat="1" ht="47.25" customHeight="1" x14ac:dyDescent="0.25">
      <c r="A291" s="108"/>
      <c r="B291" s="109"/>
      <c r="C291" s="109"/>
      <c r="D291" s="107"/>
      <c r="E291" s="107"/>
      <c r="G291" s="97"/>
      <c r="H291" s="97"/>
      <c r="I291" s="97"/>
      <c r="J291" s="97"/>
      <c r="K291" s="97"/>
      <c r="L291" s="97"/>
      <c r="M291" s="97"/>
      <c r="N291" s="97"/>
      <c r="O291" s="75"/>
    </row>
    <row r="292" spans="1:15" s="64" customFormat="1" ht="78" customHeight="1" x14ac:dyDescent="0.25">
      <c r="A292" s="133"/>
      <c r="B292" s="120"/>
      <c r="C292" s="120"/>
      <c r="D292" s="124"/>
      <c r="E292" s="113"/>
      <c r="F292" s="134"/>
      <c r="G292" s="98"/>
      <c r="H292" s="98"/>
      <c r="I292" s="98"/>
      <c r="J292" s="98"/>
      <c r="K292" s="98"/>
      <c r="L292" s="98"/>
      <c r="M292" s="98"/>
      <c r="N292" s="98"/>
      <c r="O292" s="27"/>
    </row>
    <row r="293" spans="1:15" s="64" customFormat="1" ht="48.75" customHeight="1" x14ac:dyDescent="0.25">
      <c r="A293" s="119"/>
      <c r="B293" s="135"/>
      <c r="C293" s="135"/>
      <c r="D293" s="136"/>
      <c r="E293" s="136"/>
      <c r="F293" s="65"/>
      <c r="G293" s="97"/>
      <c r="H293" s="97"/>
      <c r="I293" s="97"/>
      <c r="J293" s="97"/>
      <c r="K293" s="97"/>
      <c r="L293" s="97"/>
      <c r="M293" s="97"/>
      <c r="N293" s="97"/>
      <c r="O293" s="14"/>
    </row>
    <row r="294" spans="1:15" s="64" customFormat="1" ht="36" customHeight="1" x14ac:dyDescent="0.25">
      <c r="A294" s="103"/>
      <c r="B294" s="103"/>
      <c r="C294" s="103"/>
      <c r="D294" s="104"/>
      <c r="E294" s="136"/>
      <c r="F294" s="74"/>
      <c r="G294" s="101"/>
      <c r="H294" s="101"/>
      <c r="I294" s="101"/>
      <c r="J294" s="101"/>
      <c r="K294" s="101"/>
      <c r="L294" s="101"/>
      <c r="M294" s="101"/>
      <c r="N294" s="101"/>
      <c r="O294" s="14"/>
    </row>
    <row r="295" spans="1:15" s="64" customFormat="1" ht="20.25" customHeight="1" x14ac:dyDescent="0.25">
      <c r="A295" s="100"/>
      <c r="B295" s="100"/>
      <c r="C295" s="100"/>
      <c r="D295" s="137"/>
      <c r="E295" s="105"/>
      <c r="G295" s="101"/>
      <c r="H295" s="101"/>
      <c r="I295" s="101"/>
      <c r="J295" s="101"/>
      <c r="K295" s="101"/>
      <c r="L295" s="101"/>
      <c r="M295" s="101"/>
      <c r="N295" s="101"/>
      <c r="O295" s="27"/>
    </row>
    <row r="296" spans="1:15" s="64" customFormat="1" ht="33" customHeight="1" x14ac:dyDescent="0.25">
      <c r="A296" s="100"/>
      <c r="B296" s="100"/>
      <c r="C296" s="100"/>
      <c r="D296" s="105"/>
      <c r="E296" s="105"/>
      <c r="F296" s="138"/>
      <c r="G296" s="101"/>
      <c r="H296" s="101"/>
      <c r="I296" s="101"/>
      <c r="J296" s="101"/>
      <c r="K296" s="97"/>
      <c r="L296" s="97"/>
      <c r="M296" s="97"/>
      <c r="N296" s="97"/>
      <c r="O296" s="27"/>
    </row>
    <row r="297" spans="1:15" s="64" customFormat="1" ht="22.5" customHeight="1" x14ac:dyDescent="0.25">
      <c r="A297" s="100"/>
      <c r="B297" s="100"/>
      <c r="C297" s="100"/>
      <c r="D297" s="105"/>
      <c r="E297" s="105"/>
      <c r="G297" s="101"/>
      <c r="H297" s="101"/>
      <c r="I297" s="101"/>
      <c r="J297" s="101"/>
      <c r="K297" s="97"/>
      <c r="L297" s="97"/>
      <c r="M297" s="97"/>
      <c r="N297" s="97"/>
      <c r="O297" s="27"/>
    </row>
    <row r="298" spans="1:15" s="64" customFormat="1" ht="66.75" customHeight="1" x14ac:dyDescent="0.25">
      <c r="A298" s="99"/>
      <c r="B298" s="100"/>
      <c r="C298" s="100"/>
      <c r="D298" s="105"/>
      <c r="E298" s="105"/>
      <c r="F298" s="106"/>
      <c r="G298" s="101"/>
      <c r="H298" s="101"/>
      <c r="I298" s="101"/>
      <c r="J298" s="101"/>
      <c r="K298" s="97"/>
      <c r="L298" s="97"/>
      <c r="M298" s="97"/>
      <c r="N298" s="97"/>
      <c r="O298" s="27"/>
    </row>
    <row r="299" spans="1:15" s="64" customFormat="1" ht="54" customHeight="1" x14ac:dyDescent="0.25">
      <c r="A299" s="103"/>
      <c r="B299" s="103"/>
      <c r="C299" s="103"/>
      <c r="D299" s="74"/>
      <c r="E299" s="74"/>
      <c r="F299" s="139"/>
      <c r="G299" s="101"/>
      <c r="H299" s="101"/>
      <c r="I299" s="101"/>
      <c r="J299" s="101"/>
      <c r="K299" s="97"/>
      <c r="L299" s="97"/>
      <c r="M299" s="97"/>
      <c r="N299" s="97"/>
      <c r="O299" s="14"/>
    </row>
    <row r="300" spans="1:15" s="64" customFormat="1" ht="20.25" customHeight="1" x14ac:dyDescent="0.25">
      <c r="A300" s="103"/>
      <c r="B300" s="103"/>
      <c r="C300" s="103"/>
      <c r="D300" s="74"/>
      <c r="E300" s="74"/>
      <c r="F300" s="139"/>
      <c r="G300" s="101"/>
      <c r="H300" s="101"/>
      <c r="I300" s="101"/>
      <c r="J300" s="101"/>
      <c r="K300" s="97"/>
      <c r="L300" s="97"/>
      <c r="M300" s="97"/>
      <c r="N300" s="97"/>
      <c r="O300" s="14"/>
    </row>
    <row r="301" spans="1:15" s="64" customFormat="1" ht="48.75" customHeight="1" x14ac:dyDescent="0.25">
      <c r="A301" s="100"/>
      <c r="B301" s="100"/>
      <c r="C301" s="100"/>
      <c r="F301" s="106"/>
      <c r="G301" s="101"/>
      <c r="H301" s="101"/>
      <c r="I301" s="101"/>
      <c r="J301" s="101"/>
      <c r="K301" s="97"/>
      <c r="L301" s="97"/>
      <c r="M301" s="97"/>
      <c r="N301" s="97"/>
      <c r="O301" s="27"/>
    </row>
    <row r="302" spans="1:15" s="15" customFormat="1" ht="113.25" customHeight="1" x14ac:dyDescent="0.25">
      <c r="A302" s="94"/>
      <c r="B302" s="94"/>
      <c r="C302" s="94"/>
      <c r="D302" s="140"/>
      <c r="E302" s="140"/>
      <c r="F302" s="65"/>
      <c r="G302" s="141"/>
      <c r="H302" s="141"/>
      <c r="I302" s="141"/>
      <c r="J302" s="141"/>
      <c r="K302" s="97"/>
      <c r="L302" s="97"/>
      <c r="M302" s="97"/>
      <c r="N302" s="97"/>
      <c r="O302" s="14"/>
    </row>
    <row r="303" spans="1:15" s="15" customFormat="1" ht="50.25" customHeight="1" x14ac:dyDescent="0.25">
      <c r="A303" s="8"/>
      <c r="B303" s="103"/>
      <c r="C303" s="103"/>
      <c r="D303" s="104"/>
      <c r="E303" s="104"/>
      <c r="F303" s="139"/>
      <c r="G303" s="142"/>
      <c r="H303" s="142"/>
      <c r="I303" s="142"/>
      <c r="J303" s="142"/>
      <c r="K303" s="101"/>
      <c r="L303" s="101"/>
      <c r="M303" s="101"/>
      <c r="N303" s="101"/>
      <c r="O303" s="14"/>
    </row>
    <row r="304" spans="1:15" s="64" customFormat="1" ht="50.25" customHeight="1" x14ac:dyDescent="0.25">
      <c r="A304" s="103"/>
      <c r="B304" s="103"/>
      <c r="C304" s="103"/>
      <c r="D304" s="74"/>
      <c r="E304" s="74"/>
      <c r="F304" s="143"/>
      <c r="G304" s="101"/>
      <c r="H304" s="101"/>
      <c r="I304" s="101"/>
      <c r="J304" s="101"/>
      <c r="K304" s="97"/>
      <c r="L304" s="97"/>
      <c r="M304" s="97"/>
      <c r="N304" s="97"/>
      <c r="O304" s="14"/>
    </row>
    <row r="305" spans="1:15" s="64" customFormat="1" ht="92.25" customHeight="1" x14ac:dyDescent="0.25">
      <c r="A305" s="8"/>
      <c r="B305" s="103"/>
      <c r="C305" s="103"/>
      <c r="D305" s="74"/>
      <c r="E305" s="74"/>
      <c r="F305" s="74"/>
      <c r="G305" s="101"/>
      <c r="H305" s="101"/>
      <c r="I305" s="101"/>
      <c r="J305" s="101"/>
      <c r="K305" s="101"/>
      <c r="L305" s="101"/>
      <c r="M305" s="101"/>
      <c r="N305" s="101"/>
      <c r="O305" s="14"/>
    </row>
    <row r="306" spans="1:15" s="64" customFormat="1" ht="51" customHeight="1" x14ac:dyDescent="0.25">
      <c r="A306" s="119"/>
      <c r="B306" s="135"/>
      <c r="C306" s="135"/>
      <c r="D306" s="136"/>
      <c r="E306" s="136"/>
      <c r="F306" s="65"/>
      <c r="G306" s="97"/>
      <c r="H306" s="97"/>
      <c r="I306" s="97"/>
      <c r="J306" s="97"/>
      <c r="K306" s="97"/>
      <c r="L306" s="97"/>
      <c r="M306" s="97"/>
      <c r="N306" s="97"/>
      <c r="O306" s="14"/>
    </row>
    <row r="307" spans="1:15" s="64" customFormat="1" ht="31.5" customHeight="1" x14ac:dyDescent="0.25">
      <c r="A307" s="103"/>
      <c r="B307" s="103"/>
      <c r="C307" s="103"/>
      <c r="D307" s="74"/>
      <c r="E307" s="74"/>
      <c r="F307" s="139"/>
      <c r="G307" s="101"/>
      <c r="H307" s="101"/>
      <c r="I307" s="101"/>
      <c r="J307" s="101"/>
      <c r="K307" s="97"/>
      <c r="L307" s="97"/>
      <c r="M307" s="97"/>
      <c r="N307" s="97"/>
      <c r="O307" s="14"/>
    </row>
    <row r="308" spans="1:15" s="64" customFormat="1" ht="15.75" customHeight="1" x14ac:dyDescent="0.25">
      <c r="A308" s="103"/>
      <c r="B308" s="103"/>
      <c r="C308" s="103"/>
      <c r="D308" s="107"/>
      <c r="E308" s="74"/>
      <c r="F308" s="139"/>
      <c r="G308" s="97"/>
      <c r="H308" s="97"/>
      <c r="I308" s="97"/>
      <c r="J308" s="97"/>
      <c r="K308" s="97"/>
      <c r="L308" s="97"/>
      <c r="M308" s="97"/>
      <c r="N308" s="97"/>
      <c r="O308" s="14"/>
    </row>
    <row r="309" spans="1:15" s="51" customFormat="1" ht="18.75" customHeight="1" x14ac:dyDescent="0.25">
      <c r="A309" s="144"/>
      <c r="B309" s="132"/>
      <c r="C309" s="132"/>
      <c r="D309" s="145"/>
      <c r="E309" s="146"/>
      <c r="F309" s="73"/>
      <c r="G309" s="147"/>
      <c r="H309" s="147"/>
      <c r="I309" s="147"/>
      <c r="J309" s="147"/>
      <c r="K309" s="147"/>
      <c r="L309" s="147"/>
      <c r="M309" s="147"/>
      <c r="N309" s="147"/>
      <c r="O309" s="14"/>
    </row>
    <row r="310" spans="1:15" s="51" customFormat="1" ht="18" customHeight="1" x14ac:dyDescent="0.25">
      <c r="B310" s="148"/>
      <c r="C310" s="148"/>
      <c r="D310" s="107"/>
      <c r="E310" s="107"/>
      <c r="F310" s="65"/>
      <c r="G310" s="97"/>
      <c r="H310" s="97"/>
      <c r="I310" s="97"/>
      <c r="J310" s="97"/>
      <c r="K310" s="97"/>
      <c r="L310" s="97"/>
      <c r="M310" s="97"/>
      <c r="N310" s="97"/>
    </row>
    <row r="311" spans="1:15" s="65" customFormat="1" ht="27.75" customHeight="1" x14ac:dyDescent="0.3">
      <c r="A311" s="149"/>
      <c r="B311" s="150"/>
      <c r="C311" s="150"/>
      <c r="D311" s="149"/>
      <c r="E311" s="149"/>
      <c r="F311" s="151"/>
      <c r="G311" s="151"/>
      <c r="H311" s="151"/>
      <c r="I311" s="151"/>
      <c r="J311" s="151"/>
      <c r="K311" s="151"/>
      <c r="L311" s="151"/>
      <c r="M311" s="151"/>
      <c r="N311" s="151"/>
    </row>
    <row r="312" spans="1:15" s="51" customFormat="1" ht="20.25" customHeight="1" x14ac:dyDescent="0.3">
      <c r="A312" s="149"/>
      <c r="B312" s="150"/>
      <c r="C312" s="150"/>
      <c r="D312" s="149"/>
      <c r="E312" s="149"/>
      <c r="F312" s="151"/>
      <c r="G312" s="151"/>
      <c r="H312" s="151"/>
      <c r="I312" s="151"/>
      <c r="J312" s="151"/>
      <c r="K312" s="149"/>
      <c r="L312" s="149"/>
      <c r="M312" s="149"/>
      <c r="N312" s="149"/>
    </row>
    <row r="313" spans="1:15" x14ac:dyDescent="0.2">
      <c r="A313" s="1"/>
      <c r="B313" s="2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5" x14ac:dyDescent="0.2">
      <c r="A314" s="1"/>
      <c r="B314" s="2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5" x14ac:dyDescent="0.2">
      <c r="A315" s="1"/>
      <c r="B315" s="2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5" x14ac:dyDescent="0.2">
      <c r="A316" s="1"/>
      <c r="B316" s="2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5" x14ac:dyDescent="0.2">
      <c r="A317" s="1"/>
      <c r="B317" s="2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5" x14ac:dyDescent="0.2">
      <c r="A318" s="1"/>
      <c r="B318" s="2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5" x14ac:dyDescent="0.2">
      <c r="A319" s="1"/>
      <c r="B319" s="2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5" x14ac:dyDescent="0.2">
      <c r="A320" s="1"/>
      <c r="B320" s="2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x14ac:dyDescent="0.2">
      <c r="A321" s="1"/>
      <c r="B321" s="2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x14ac:dyDescent="0.2">
      <c r="A322" s="1"/>
      <c r="B322" s="2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x14ac:dyDescent="0.2">
      <c r="A323" s="1"/>
      <c r="B323" s="2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x14ac:dyDescent="0.2">
      <c r="A324" s="1"/>
      <c r="B324" s="2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x14ac:dyDescent="0.2">
      <c r="A325" s="1"/>
      <c r="B325" s="2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x14ac:dyDescent="0.2">
      <c r="A326" s="1"/>
      <c r="B326" s="2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x14ac:dyDescent="0.2">
      <c r="A327" s="1"/>
      <c r="B327" s="2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x14ac:dyDescent="0.2">
      <c r="A328" s="1"/>
      <c r="B328" s="2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x14ac:dyDescent="0.2">
      <c r="A329" s="1"/>
      <c r="B329" s="2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x14ac:dyDescent="0.2">
      <c r="A330" s="1"/>
      <c r="B330" s="2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x14ac:dyDescent="0.2">
      <c r="A331" s="1"/>
      <c r="B331" s="2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x14ac:dyDescent="0.2">
      <c r="A332" s="1"/>
      <c r="B332" s="2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x14ac:dyDescent="0.2">
      <c r="A333" s="1"/>
      <c r="B333" s="2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x14ac:dyDescent="0.2">
      <c r="A334" s="1"/>
      <c r="B334" s="2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x14ac:dyDescent="0.2">
      <c r="A335" s="1"/>
      <c r="B335" s="2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x14ac:dyDescent="0.2">
      <c r="A336" s="1"/>
      <c r="B336" s="2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x14ac:dyDescent="0.2">
      <c r="A337" s="1"/>
      <c r="B337" s="2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x14ac:dyDescent="0.2">
      <c r="A338" s="1"/>
      <c r="B338" s="2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x14ac:dyDescent="0.2">
      <c r="A339" s="1"/>
      <c r="B339" s="2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x14ac:dyDescent="0.2">
      <c r="A340" s="1"/>
      <c r="B340" s="2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x14ac:dyDescent="0.2">
      <c r="A341" s="1"/>
      <c r="B341" s="2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x14ac:dyDescent="0.2">
      <c r="A342" s="1"/>
      <c r="B342" s="2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x14ac:dyDescent="0.2">
      <c r="A343" s="1"/>
      <c r="B343" s="2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x14ac:dyDescent="0.2">
      <c r="A344" s="1"/>
      <c r="B344" s="2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x14ac:dyDescent="0.2">
      <c r="A345" s="1"/>
      <c r="B345" s="2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x14ac:dyDescent="0.2">
      <c r="A346" s="1"/>
      <c r="B346" s="2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x14ac:dyDescent="0.2">
      <c r="A347" s="1"/>
      <c r="B347" s="2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x14ac:dyDescent="0.2">
      <c r="A348" s="1"/>
      <c r="B348" s="2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x14ac:dyDescent="0.2">
      <c r="A349" s="1"/>
      <c r="B349" s="2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x14ac:dyDescent="0.2">
      <c r="A350" s="1"/>
      <c r="B350" s="2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x14ac:dyDescent="0.2">
      <c r="A351" s="1"/>
      <c r="B351" s="2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x14ac:dyDescent="0.2">
      <c r="A352" s="1"/>
      <c r="B352" s="2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x14ac:dyDescent="0.2">
      <c r="A353" s="1"/>
      <c r="B353" s="2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x14ac:dyDescent="0.2">
      <c r="A354" s="1"/>
      <c r="B354" s="2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x14ac:dyDescent="0.2">
      <c r="A355" s="1"/>
      <c r="B355" s="2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x14ac:dyDescent="0.2">
      <c r="A356" s="1"/>
      <c r="B356" s="2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x14ac:dyDescent="0.2">
      <c r="A357" s="1"/>
      <c r="B357" s="2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x14ac:dyDescent="0.2">
      <c r="A358" s="1"/>
      <c r="B358" s="2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x14ac:dyDescent="0.2">
      <c r="A359" s="1"/>
      <c r="B359" s="2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x14ac:dyDescent="0.2">
      <c r="A360" s="1"/>
      <c r="B360" s="2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x14ac:dyDescent="0.2">
      <c r="A361" s="1"/>
      <c r="B361" s="2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x14ac:dyDescent="0.2">
      <c r="A362" s="1"/>
      <c r="B362" s="2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x14ac:dyDescent="0.2">
      <c r="A363" s="1"/>
      <c r="B363" s="2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x14ac:dyDescent="0.2">
      <c r="A364" s="1"/>
      <c r="B364" s="2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x14ac:dyDescent="0.2">
      <c r="A365" s="1"/>
      <c r="B365" s="2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x14ac:dyDescent="0.2">
      <c r="A366" s="1"/>
      <c r="B366" s="2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x14ac:dyDescent="0.2">
      <c r="A367" s="1"/>
      <c r="B367" s="2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x14ac:dyDescent="0.2">
      <c r="A368" s="1"/>
      <c r="B368" s="2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x14ac:dyDescent="0.2">
      <c r="A369" s="1"/>
      <c r="B369" s="2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x14ac:dyDescent="0.2">
      <c r="A370" s="1"/>
      <c r="B370" s="2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x14ac:dyDescent="0.2">
      <c r="A371" s="1"/>
      <c r="B371" s="2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</sheetData>
  <mergeCells count="10">
    <mergeCell ref="B9:N9"/>
    <mergeCell ref="K2:N2"/>
    <mergeCell ref="B4:N4"/>
    <mergeCell ref="A7:A8"/>
    <mergeCell ref="B7:B8"/>
    <mergeCell ref="C7:C8"/>
    <mergeCell ref="D7:E8"/>
    <mergeCell ref="F7:F8"/>
    <mergeCell ref="G7:I7"/>
    <mergeCell ref="K7:N7"/>
  </mergeCells>
  <conditionalFormatting sqref="K290:N291">
    <cfRule type="cellIs" dxfId="1" priority="2" stopIfTrue="1" operator="equal">
      <formula>0</formula>
    </cfRule>
  </conditionalFormatting>
  <conditionalFormatting sqref="O26:V29">
    <cfRule type="cellIs" dxfId="0" priority="1" stopIfTrue="1" operator="equal">
      <formula>0</formula>
    </cfRule>
  </conditionalFormatting>
  <hyperlinks>
    <hyperlink ref="F22" r:id="rId1" display="http://akts.yu.mk.ua/showdoc/4829/"/>
  </hyperlinks>
  <pageMargins left="0.70866141732283472" right="0.31496062992125984" top="0.74803149606299213" bottom="0.35433070866141736" header="0.31496062992125984" footer="0.31496062992125984"/>
  <pageSetup paperSize="9" scale="50" fitToWidth="7" fitToHeight="13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view="pageBreakPreview" zoomScale="75" zoomScaleNormal="68" zoomScaleSheetLayoutView="75" workbookViewId="0">
      <selection activeCell="F10" sqref="F10"/>
    </sheetView>
  </sheetViews>
  <sheetFormatPr defaultColWidth="8.7109375" defaultRowHeight="12.75" x14ac:dyDescent="0.2"/>
  <cols>
    <col min="1" max="1" width="13" style="1" customWidth="1"/>
    <col min="2" max="2" width="12.140625" style="2" customWidth="1"/>
    <col min="3" max="3" width="11.28515625" style="2" customWidth="1"/>
    <col min="4" max="4" width="37.140625" style="1" customWidth="1"/>
    <col min="5" max="5" width="2.140625" style="1" hidden="1" customWidth="1"/>
    <col min="6" max="6" width="58.7109375" style="1" customWidth="1"/>
    <col min="7" max="10" width="16.7109375" style="1" customWidth="1"/>
    <col min="11" max="11" width="18.140625" style="1" customWidth="1"/>
    <col min="12" max="14" width="16.7109375" style="1" customWidth="1"/>
    <col min="15" max="192" width="8.7109375" style="1"/>
    <col min="193" max="193" width="13" style="1" customWidth="1"/>
    <col min="194" max="194" width="12.140625" style="1" customWidth="1"/>
    <col min="195" max="195" width="11.28515625" style="1" customWidth="1"/>
    <col min="196" max="196" width="37.140625" style="1" customWidth="1"/>
    <col min="197" max="197" width="0" style="1" hidden="1" customWidth="1"/>
    <col min="198" max="198" width="58.7109375" style="1" customWidth="1"/>
    <col min="199" max="201" width="16.7109375" style="1" customWidth="1"/>
    <col min="202" max="202" width="53.28515625" style="1" customWidth="1"/>
    <col min="203" max="203" width="15.42578125" style="1" customWidth="1"/>
    <col min="204" max="448" width="8.7109375" style="1"/>
    <col min="449" max="449" width="13" style="1" customWidth="1"/>
    <col min="450" max="450" width="12.140625" style="1" customWidth="1"/>
    <col min="451" max="451" width="11.28515625" style="1" customWidth="1"/>
    <col min="452" max="452" width="37.140625" style="1" customWidth="1"/>
    <col min="453" max="453" width="0" style="1" hidden="1" customWidth="1"/>
    <col min="454" max="454" width="58.7109375" style="1" customWidth="1"/>
    <col min="455" max="457" width="16.7109375" style="1" customWidth="1"/>
    <col min="458" max="458" width="53.28515625" style="1" customWidth="1"/>
    <col min="459" max="459" width="15.42578125" style="1" customWidth="1"/>
    <col min="460" max="16384" width="8.7109375" style="1"/>
  </cols>
  <sheetData>
    <row r="1" spans="1:14" s="4" customFormat="1" ht="20.25" x14ac:dyDescent="0.25">
      <c r="B1" s="479" t="s">
        <v>392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</row>
    <row r="2" spans="1:14" s="4" customFormat="1" ht="30" customHeight="1" x14ac:dyDescent="0.25"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ht="23.25" customHeight="1" x14ac:dyDescent="0.3">
      <c r="M3" s="3" t="s">
        <v>0</v>
      </c>
    </row>
    <row r="4" spans="1:14" s="222" customFormat="1" ht="45" customHeight="1" x14ac:dyDescent="0.25">
      <c r="A4" s="481" t="s">
        <v>1</v>
      </c>
      <c r="B4" s="482" t="s">
        <v>2</v>
      </c>
      <c r="C4" s="482" t="s">
        <v>3</v>
      </c>
      <c r="D4" s="483" t="s">
        <v>4</v>
      </c>
      <c r="E4" s="483"/>
      <c r="F4" s="483" t="s">
        <v>283</v>
      </c>
      <c r="G4" s="483" t="s">
        <v>5</v>
      </c>
      <c r="H4" s="483"/>
      <c r="I4" s="483"/>
      <c r="J4" s="294"/>
      <c r="K4" s="483" t="s">
        <v>6</v>
      </c>
      <c r="L4" s="483"/>
      <c r="M4" s="483"/>
      <c r="N4" s="483"/>
    </row>
    <row r="5" spans="1:14" s="222" customFormat="1" ht="69" customHeight="1" x14ac:dyDescent="0.25">
      <c r="A5" s="481"/>
      <c r="B5" s="482"/>
      <c r="C5" s="482"/>
      <c r="D5" s="483"/>
      <c r="E5" s="483"/>
      <c r="F5" s="483"/>
      <c r="G5" s="294" t="s">
        <v>284</v>
      </c>
      <c r="H5" s="294" t="s">
        <v>285</v>
      </c>
      <c r="I5" s="294" t="s">
        <v>393</v>
      </c>
      <c r="J5" s="294" t="s">
        <v>286</v>
      </c>
      <c r="K5" s="294" t="s">
        <v>284</v>
      </c>
      <c r="L5" s="294" t="s">
        <v>285</v>
      </c>
      <c r="M5" s="294" t="s">
        <v>393</v>
      </c>
      <c r="N5" s="294" t="s">
        <v>286</v>
      </c>
    </row>
    <row r="6" spans="1:14" s="8" customFormat="1" ht="19.5" customHeight="1" x14ac:dyDescent="0.25">
      <c r="A6" s="7"/>
      <c r="B6" s="480" t="s">
        <v>7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</row>
    <row r="7" spans="1:14" s="10" customFormat="1" ht="42" customHeight="1" x14ac:dyDescent="0.25">
      <c r="A7" s="161" t="s">
        <v>8</v>
      </c>
      <c r="B7" s="162"/>
      <c r="C7" s="162"/>
      <c r="D7" s="163" t="s">
        <v>9</v>
      </c>
      <c r="E7" s="164"/>
      <c r="F7" s="165"/>
      <c r="G7" s="255"/>
      <c r="H7" s="255"/>
      <c r="I7" s="255"/>
      <c r="J7" s="255"/>
      <c r="K7" s="256"/>
      <c r="L7" s="256"/>
      <c r="M7" s="256"/>
      <c r="N7" s="256"/>
    </row>
    <row r="8" spans="1:14" s="10" customFormat="1" ht="38.25" customHeight="1" x14ac:dyDescent="0.25">
      <c r="A8" s="193" t="s">
        <v>10</v>
      </c>
      <c r="B8" s="194"/>
      <c r="C8" s="194"/>
      <c r="D8" s="156" t="s">
        <v>9</v>
      </c>
      <c r="E8" s="195"/>
      <c r="F8" s="9"/>
      <c r="G8" s="257"/>
      <c r="H8" s="257"/>
      <c r="I8" s="257"/>
      <c r="J8" s="257"/>
      <c r="K8" s="258"/>
      <c r="L8" s="258"/>
      <c r="M8" s="258"/>
      <c r="N8" s="258"/>
    </row>
    <row r="9" spans="1:14" s="15" customFormat="1" ht="83.45" customHeight="1" x14ac:dyDescent="0.25">
      <c r="A9" s="11"/>
      <c r="B9" s="11"/>
      <c r="C9" s="11"/>
      <c r="D9" s="12"/>
      <c r="E9" s="12"/>
      <c r="F9" s="219" t="s">
        <v>11</v>
      </c>
      <c r="G9" s="259">
        <f>G10+G11</f>
        <v>53.9</v>
      </c>
      <c r="H9" s="259">
        <f>H10+H11</f>
        <v>49.199999999999996</v>
      </c>
      <c r="I9" s="259">
        <f t="shared" ref="I9" si="0">I10+I11</f>
        <v>44.50318</v>
      </c>
      <c r="J9" s="259">
        <f>I9/G9*100</f>
        <v>82.566196660482376</v>
      </c>
      <c r="K9" s="259">
        <f>K10+K11</f>
        <v>0</v>
      </c>
      <c r="L9" s="259">
        <f>L10+L11</f>
        <v>0</v>
      </c>
      <c r="M9" s="259">
        <f>M10+M11</f>
        <v>0</v>
      </c>
      <c r="N9" s="259"/>
    </row>
    <row r="10" spans="1:14" s="19" customFormat="1" ht="84" customHeight="1" x14ac:dyDescent="0.25">
      <c r="A10" s="11" t="s">
        <v>12</v>
      </c>
      <c r="B10" s="11" t="s">
        <v>13</v>
      </c>
      <c r="C10" s="11" t="s">
        <v>14</v>
      </c>
      <c r="D10" s="16" t="s">
        <v>15</v>
      </c>
      <c r="E10" s="17"/>
      <c r="F10" s="18" t="s">
        <v>16</v>
      </c>
      <c r="G10" s="260">
        <v>10</v>
      </c>
      <c r="H10" s="260">
        <v>5.3</v>
      </c>
      <c r="I10" s="260">
        <v>0.58818000000000004</v>
      </c>
      <c r="J10" s="260"/>
      <c r="K10" s="260"/>
      <c r="L10" s="260"/>
      <c r="M10" s="260"/>
      <c r="N10" s="260"/>
    </row>
    <row r="11" spans="1:14" s="19" customFormat="1" ht="36" customHeight="1" x14ac:dyDescent="0.25">
      <c r="A11" s="11" t="s">
        <v>17</v>
      </c>
      <c r="B11" s="11" t="s">
        <v>18</v>
      </c>
      <c r="C11" s="11" t="s">
        <v>19</v>
      </c>
      <c r="D11" s="20" t="s">
        <v>20</v>
      </c>
      <c r="E11" s="17"/>
      <c r="F11" s="18"/>
      <c r="G11" s="260">
        <f>G12</f>
        <v>43.9</v>
      </c>
      <c r="H11" s="260">
        <f>H12</f>
        <v>43.9</v>
      </c>
      <c r="I11" s="260">
        <f t="shared" ref="I11" si="1">I12</f>
        <v>43.914999999999999</v>
      </c>
      <c r="J11" s="260"/>
      <c r="K11" s="260">
        <f>K12</f>
        <v>0</v>
      </c>
      <c r="L11" s="260"/>
      <c r="M11" s="260"/>
      <c r="N11" s="260"/>
    </row>
    <row r="12" spans="1:14" s="19" customFormat="1" ht="102.75" customHeight="1" x14ac:dyDescent="0.25">
      <c r="A12" s="21" t="s">
        <v>21</v>
      </c>
      <c r="B12" s="21" t="s">
        <v>22</v>
      </c>
      <c r="C12" s="21" t="s">
        <v>19</v>
      </c>
      <c r="D12" s="16" t="s">
        <v>23</v>
      </c>
      <c r="E12" s="17"/>
      <c r="F12" s="17" t="s">
        <v>24</v>
      </c>
      <c r="G12" s="260">
        <v>43.9</v>
      </c>
      <c r="H12" s="260">
        <v>43.9</v>
      </c>
      <c r="I12" s="260">
        <v>43.914999999999999</v>
      </c>
      <c r="J12" s="260"/>
      <c r="K12" s="260"/>
      <c r="L12" s="260"/>
      <c r="M12" s="260"/>
      <c r="N12" s="260"/>
    </row>
    <row r="13" spans="1:14" s="19" customFormat="1" ht="24" customHeight="1" x14ac:dyDescent="0.25">
      <c r="A13" s="11" t="s">
        <v>25</v>
      </c>
      <c r="B13" s="11" t="s">
        <v>26</v>
      </c>
      <c r="C13" s="11" t="s">
        <v>13</v>
      </c>
      <c r="D13" s="17" t="s">
        <v>27</v>
      </c>
      <c r="E13" s="17"/>
      <c r="F13" s="220"/>
      <c r="G13" s="259">
        <f>G14+G19</f>
        <v>118.89999999999999</v>
      </c>
      <c r="H13" s="259">
        <f>H14+H19</f>
        <v>100.6</v>
      </c>
      <c r="I13" s="259">
        <f>I14+I19</f>
        <v>75</v>
      </c>
      <c r="J13" s="259">
        <f>I13/G13*100</f>
        <v>63.078216989066448</v>
      </c>
      <c r="K13" s="259">
        <f>K14+K19</f>
        <v>0</v>
      </c>
      <c r="L13" s="259">
        <f>L14+L19</f>
        <v>0</v>
      </c>
      <c r="M13" s="259">
        <f>M14+M19</f>
        <v>0</v>
      </c>
      <c r="N13" s="259"/>
    </row>
    <row r="14" spans="1:14" s="19" customFormat="1" ht="85.5" customHeight="1" x14ac:dyDescent="0.25">
      <c r="A14" s="154" t="s">
        <v>28</v>
      </c>
      <c r="B14" s="21" t="s">
        <v>29</v>
      </c>
      <c r="C14" s="21" t="s">
        <v>30</v>
      </c>
      <c r="D14" s="17" t="s">
        <v>27</v>
      </c>
      <c r="E14" s="17"/>
      <c r="F14" s="22" t="s">
        <v>31</v>
      </c>
      <c r="G14" s="261">
        <f>G15+G16+G17+G18</f>
        <v>103.89999999999999</v>
      </c>
      <c r="H14" s="261">
        <f>H15+H16+H17+H18</f>
        <v>88.6</v>
      </c>
      <c r="I14" s="261">
        <f>I15+I16+I17+I18</f>
        <v>66.099999999999994</v>
      </c>
      <c r="J14" s="261"/>
      <c r="K14" s="261">
        <v>0</v>
      </c>
      <c r="L14" s="261"/>
      <c r="M14" s="261"/>
      <c r="N14" s="261"/>
    </row>
    <row r="15" spans="1:14" s="19" customFormat="1" ht="27.75" customHeight="1" x14ac:dyDescent="0.25">
      <c r="A15" s="154"/>
      <c r="B15" s="21"/>
      <c r="C15" s="21"/>
      <c r="D15" s="17"/>
      <c r="E15" s="17"/>
      <c r="F15" s="17" t="s">
        <v>296</v>
      </c>
      <c r="G15" s="261">
        <v>41.9</v>
      </c>
      <c r="H15" s="261">
        <v>26.6</v>
      </c>
      <c r="I15" s="261">
        <v>26.6</v>
      </c>
      <c r="J15" s="261"/>
      <c r="K15" s="261"/>
      <c r="L15" s="261"/>
      <c r="M15" s="261"/>
      <c r="N15" s="261"/>
    </row>
    <row r="16" spans="1:14" s="19" customFormat="1" ht="36" customHeight="1" x14ac:dyDescent="0.25">
      <c r="A16" s="154"/>
      <c r="B16" s="21"/>
      <c r="C16" s="21"/>
      <c r="D16" s="17"/>
      <c r="E16" s="17"/>
      <c r="F16" s="17" t="s">
        <v>297</v>
      </c>
      <c r="G16" s="261">
        <v>24.2</v>
      </c>
      <c r="H16" s="261">
        <v>24.2</v>
      </c>
      <c r="I16" s="261">
        <v>2</v>
      </c>
      <c r="J16" s="261"/>
      <c r="K16" s="261"/>
      <c r="L16" s="261"/>
      <c r="M16" s="261"/>
      <c r="N16" s="261"/>
    </row>
    <row r="17" spans="1:14" s="19" customFormat="1" ht="25.5" customHeight="1" x14ac:dyDescent="0.25">
      <c r="A17" s="154"/>
      <c r="B17" s="21"/>
      <c r="C17" s="21"/>
      <c r="D17" s="17"/>
      <c r="E17" s="17"/>
      <c r="F17" s="17" t="s">
        <v>298</v>
      </c>
      <c r="G17" s="261">
        <v>15</v>
      </c>
      <c r="H17" s="261">
        <v>15</v>
      </c>
      <c r="I17" s="261">
        <v>14.7</v>
      </c>
      <c r="J17" s="261"/>
      <c r="K17" s="261"/>
      <c r="L17" s="261"/>
      <c r="M17" s="261"/>
      <c r="N17" s="261"/>
    </row>
    <row r="18" spans="1:14" s="19" customFormat="1" ht="28.5" customHeight="1" x14ac:dyDescent="0.25">
      <c r="A18" s="154"/>
      <c r="B18" s="21"/>
      <c r="C18" s="21"/>
      <c r="D18" s="17"/>
      <c r="E18" s="17"/>
      <c r="F18" s="17" t="s">
        <v>299</v>
      </c>
      <c r="G18" s="260">
        <v>22.8</v>
      </c>
      <c r="H18" s="260">
        <v>22.8</v>
      </c>
      <c r="I18" s="260">
        <v>22.8</v>
      </c>
      <c r="J18" s="261"/>
      <c r="K18" s="261"/>
      <c r="L18" s="261"/>
      <c r="M18" s="261"/>
      <c r="N18" s="261"/>
    </row>
    <row r="19" spans="1:14" s="19" customFormat="1" ht="89.25" customHeight="1" x14ac:dyDescent="0.25">
      <c r="A19" s="11" t="s">
        <v>32</v>
      </c>
      <c r="B19" s="21" t="s">
        <v>33</v>
      </c>
      <c r="C19" s="21" t="s">
        <v>30</v>
      </c>
      <c r="D19" s="17" t="s">
        <v>27</v>
      </c>
      <c r="E19" s="17"/>
      <c r="F19" s="23" t="s">
        <v>34</v>
      </c>
      <c r="G19" s="261">
        <f>5+10</f>
        <v>15</v>
      </c>
      <c r="H19" s="261">
        <v>12</v>
      </c>
      <c r="I19" s="261">
        <v>8.9</v>
      </c>
      <c r="J19" s="261">
        <f>I19/G19*100</f>
        <v>59.333333333333336</v>
      </c>
      <c r="K19" s="261">
        <v>0</v>
      </c>
      <c r="L19" s="261"/>
      <c r="M19" s="261"/>
      <c r="N19" s="261"/>
    </row>
    <row r="20" spans="1:14" s="19" customFormat="1" ht="7.5" hidden="1" customHeight="1" x14ac:dyDescent="0.25">
      <c r="A20" s="24"/>
      <c r="B20" s="24"/>
      <c r="C20" s="24"/>
      <c r="D20" s="25"/>
      <c r="E20" s="25"/>
      <c r="F20" s="26"/>
      <c r="G20" s="260"/>
      <c r="H20" s="260"/>
      <c r="I20" s="260"/>
      <c r="J20" s="260"/>
      <c r="K20" s="260"/>
      <c r="L20" s="260"/>
      <c r="M20" s="260"/>
      <c r="N20" s="260"/>
    </row>
    <row r="21" spans="1:14" s="19" customFormat="1" ht="87.75" customHeight="1" x14ac:dyDescent="0.25">
      <c r="A21" s="21" t="s">
        <v>35</v>
      </c>
      <c r="B21" s="21" t="s">
        <v>36</v>
      </c>
      <c r="C21" s="21" t="s">
        <v>37</v>
      </c>
      <c r="D21" s="16" t="s">
        <v>197</v>
      </c>
      <c r="E21" s="28"/>
      <c r="F21" s="20" t="s">
        <v>38</v>
      </c>
      <c r="G21" s="260"/>
      <c r="H21" s="260"/>
      <c r="I21" s="260"/>
      <c r="J21" s="260"/>
      <c r="K21" s="261">
        <v>112</v>
      </c>
      <c r="L21" s="261">
        <f>24+88</f>
        <v>112</v>
      </c>
      <c r="M21" s="261">
        <v>0</v>
      </c>
      <c r="N21" s="261">
        <f>M21/K21*100</f>
        <v>0</v>
      </c>
    </row>
    <row r="22" spans="1:14" s="32" customFormat="1" ht="21" customHeight="1" x14ac:dyDescent="0.25">
      <c r="A22" s="29"/>
      <c r="B22" s="30"/>
      <c r="C22" s="30"/>
      <c r="D22" s="197" t="s">
        <v>39</v>
      </c>
      <c r="E22" s="197"/>
      <c r="F22" s="198"/>
      <c r="G22" s="262">
        <f>G13+G9+G21</f>
        <v>172.79999999999998</v>
      </c>
      <c r="H22" s="262">
        <f>H13+H9+H21</f>
        <v>149.79999999999998</v>
      </c>
      <c r="I22" s="262">
        <f>I13+I9+I21</f>
        <v>119.50318</v>
      </c>
      <c r="J22" s="262">
        <f>I22/G22*100</f>
        <v>69.156932870370383</v>
      </c>
      <c r="K22" s="262">
        <f>K13+K9+K21</f>
        <v>112</v>
      </c>
      <c r="L22" s="262">
        <f>L13+L9+L21</f>
        <v>112</v>
      </c>
      <c r="M22" s="262">
        <f>M13+M9+M21</f>
        <v>0</v>
      </c>
      <c r="N22" s="259">
        <f>M22/K22*100</f>
        <v>0</v>
      </c>
    </row>
    <row r="23" spans="1:14" s="37" customFormat="1" ht="39.75" customHeight="1" x14ac:dyDescent="0.2">
      <c r="A23" s="166" t="s">
        <v>40</v>
      </c>
      <c r="B23" s="167"/>
      <c r="C23" s="167"/>
      <c r="D23" s="163" t="s">
        <v>41</v>
      </c>
      <c r="E23" s="168"/>
      <c r="F23" s="168"/>
      <c r="G23" s="263"/>
      <c r="H23" s="263"/>
      <c r="I23" s="263"/>
      <c r="J23" s="263"/>
      <c r="K23" s="263"/>
      <c r="L23" s="263"/>
      <c r="M23" s="263"/>
      <c r="N23" s="263"/>
    </row>
    <row r="24" spans="1:14" s="39" customFormat="1" ht="46.5" customHeight="1" x14ac:dyDescent="0.2">
      <c r="A24" s="33" t="s">
        <v>42</v>
      </c>
      <c r="B24" s="34"/>
      <c r="C24" s="34"/>
      <c r="D24" s="156" t="s">
        <v>41</v>
      </c>
      <c r="E24" s="35"/>
      <c r="F24" s="35"/>
      <c r="G24" s="264"/>
      <c r="H24" s="264"/>
      <c r="I24" s="264"/>
      <c r="J24" s="264"/>
      <c r="K24" s="264"/>
      <c r="L24" s="264"/>
      <c r="M24" s="264"/>
      <c r="N24" s="264"/>
    </row>
    <row r="25" spans="1:14" s="39" customFormat="1" ht="30" customHeight="1" x14ac:dyDescent="0.2">
      <c r="A25" s="33" t="s">
        <v>43</v>
      </c>
      <c r="B25" s="34" t="s">
        <v>44</v>
      </c>
      <c r="C25" s="34" t="s">
        <v>45</v>
      </c>
      <c r="D25" s="68" t="s">
        <v>46</v>
      </c>
      <c r="E25" s="35"/>
      <c r="F25" s="206" t="s">
        <v>39</v>
      </c>
      <c r="G25" s="262">
        <f>G27+G26</f>
        <v>209.5</v>
      </c>
      <c r="H25" s="262">
        <f>H27+H26</f>
        <v>102.5</v>
      </c>
      <c r="I25" s="262">
        <f>I27+I26</f>
        <v>44.099999999999994</v>
      </c>
      <c r="J25" s="262">
        <f>I25/G25*100</f>
        <v>21.050119331742241</v>
      </c>
      <c r="K25" s="262">
        <f>K27</f>
        <v>0</v>
      </c>
      <c r="L25" s="262"/>
      <c r="M25" s="262"/>
      <c r="N25" s="262"/>
    </row>
    <row r="26" spans="1:14" s="39" customFormat="1" ht="80.25" customHeight="1" x14ac:dyDescent="0.2">
      <c r="A26" s="33"/>
      <c r="B26" s="34" t="s">
        <v>98</v>
      </c>
      <c r="C26" s="34"/>
      <c r="D26" s="45" t="s">
        <v>100</v>
      </c>
      <c r="E26" s="35"/>
      <c r="F26" s="254" t="s">
        <v>371</v>
      </c>
      <c r="G26" s="264">
        <v>37.5</v>
      </c>
      <c r="H26" s="264">
        <v>0</v>
      </c>
      <c r="I26" s="264">
        <v>0</v>
      </c>
      <c r="J26" s="264">
        <f t="shared" ref="J26:J27" si="2">I26/G26*100</f>
        <v>0</v>
      </c>
      <c r="K26" s="264"/>
      <c r="L26" s="264"/>
      <c r="M26" s="264"/>
      <c r="N26" s="264"/>
    </row>
    <row r="27" spans="1:14" s="15" customFormat="1" ht="55.5" customHeight="1" x14ac:dyDescent="0.25">
      <c r="A27" s="29"/>
      <c r="B27" s="21" t="s">
        <v>47</v>
      </c>
      <c r="C27" s="21" t="s">
        <v>45</v>
      </c>
      <c r="D27" s="40" t="s">
        <v>46</v>
      </c>
      <c r="E27" s="41"/>
      <c r="F27" s="13" t="s">
        <v>48</v>
      </c>
      <c r="G27" s="261">
        <f>G28+G29+G30+G31+G32</f>
        <v>172</v>
      </c>
      <c r="H27" s="261">
        <f t="shared" ref="H27:I27" si="3">H28+H29+H30+H31+H32</f>
        <v>102.5</v>
      </c>
      <c r="I27" s="261">
        <f t="shared" si="3"/>
        <v>44.099999999999994</v>
      </c>
      <c r="J27" s="264">
        <f t="shared" si="2"/>
        <v>25.639534883720927</v>
      </c>
      <c r="K27" s="261">
        <f>K28+K29+K31+K32</f>
        <v>0</v>
      </c>
      <c r="L27" s="261"/>
      <c r="M27" s="261"/>
      <c r="N27" s="261"/>
    </row>
    <row r="28" spans="1:14" s="15" customFormat="1" ht="27.75" customHeight="1" x14ac:dyDescent="0.25">
      <c r="A28" s="42"/>
      <c r="B28" s="21"/>
      <c r="C28" s="21"/>
      <c r="D28" s="43"/>
      <c r="E28" s="41"/>
      <c r="F28" s="43" t="s">
        <v>287</v>
      </c>
      <c r="G28" s="260">
        <v>33.799999999999997</v>
      </c>
      <c r="H28" s="260">
        <v>23.8</v>
      </c>
      <c r="I28" s="260">
        <v>13.3</v>
      </c>
      <c r="J28" s="260"/>
      <c r="K28" s="260"/>
      <c r="L28" s="260"/>
      <c r="M28" s="260"/>
      <c r="N28" s="260"/>
    </row>
    <row r="29" spans="1:14" s="46" customFormat="1" ht="69.75" customHeight="1" x14ac:dyDescent="0.25">
      <c r="A29" s="24"/>
      <c r="B29" s="24"/>
      <c r="C29" s="24"/>
      <c r="D29" s="44"/>
      <c r="E29" s="44"/>
      <c r="F29" s="45" t="s">
        <v>49</v>
      </c>
      <c r="G29" s="260">
        <v>72</v>
      </c>
      <c r="H29" s="260">
        <v>27.5</v>
      </c>
      <c r="I29" s="260">
        <v>20</v>
      </c>
      <c r="J29" s="260"/>
      <c r="K29" s="260"/>
      <c r="L29" s="260"/>
      <c r="M29" s="260"/>
      <c r="N29" s="260"/>
    </row>
    <row r="30" spans="1:14" s="46" customFormat="1" ht="20.25" customHeight="1" x14ac:dyDescent="0.25">
      <c r="A30" s="24"/>
      <c r="B30" s="24"/>
      <c r="C30" s="24"/>
      <c r="D30" s="44"/>
      <c r="E30" s="44"/>
      <c r="F30" s="45" t="s">
        <v>288</v>
      </c>
      <c r="G30" s="260">
        <v>15</v>
      </c>
      <c r="H30" s="260"/>
      <c r="I30" s="260">
        <v>0</v>
      </c>
      <c r="J30" s="260"/>
      <c r="K30" s="260"/>
      <c r="L30" s="260"/>
      <c r="M30" s="260"/>
      <c r="N30" s="260"/>
    </row>
    <row r="31" spans="1:14" s="15" customFormat="1" ht="35.25" customHeight="1" x14ac:dyDescent="0.25">
      <c r="A31" s="29"/>
      <c r="B31" s="30"/>
      <c r="C31" s="30"/>
      <c r="D31" s="47"/>
      <c r="E31" s="47"/>
      <c r="F31" s="43" t="s">
        <v>289</v>
      </c>
      <c r="G31" s="260">
        <v>31.2</v>
      </c>
      <c r="H31" s="260">
        <v>31.2</v>
      </c>
      <c r="I31" s="260">
        <v>5.8</v>
      </c>
      <c r="J31" s="260"/>
      <c r="K31" s="261"/>
      <c r="L31" s="261"/>
      <c r="M31" s="261"/>
      <c r="N31" s="261"/>
    </row>
    <row r="32" spans="1:14" s="15" customFormat="1" ht="20.25" customHeight="1" x14ac:dyDescent="0.25">
      <c r="A32" s="48"/>
      <c r="B32" s="49"/>
      <c r="C32" s="49"/>
      <c r="D32" s="47"/>
      <c r="E32" s="47"/>
      <c r="F32" s="43" t="s">
        <v>325</v>
      </c>
      <c r="G32" s="260">
        <v>20</v>
      </c>
      <c r="H32" s="260">
        <v>20</v>
      </c>
      <c r="I32" s="260">
        <v>5</v>
      </c>
      <c r="J32" s="260"/>
      <c r="K32" s="261"/>
      <c r="L32" s="261"/>
      <c r="M32" s="261"/>
      <c r="N32" s="261"/>
    </row>
    <row r="33" spans="1:14" s="51" customFormat="1" ht="58.5" customHeight="1" x14ac:dyDescent="0.25">
      <c r="A33" s="169">
        <v>1100000</v>
      </c>
      <c r="B33" s="170"/>
      <c r="C33" s="170"/>
      <c r="D33" s="171" t="s">
        <v>51</v>
      </c>
      <c r="E33" s="172"/>
      <c r="F33" s="173"/>
      <c r="G33" s="265"/>
      <c r="H33" s="265"/>
      <c r="I33" s="265"/>
      <c r="J33" s="265"/>
      <c r="K33" s="266"/>
      <c r="L33" s="266"/>
      <c r="M33" s="266"/>
      <c r="N33" s="266"/>
    </row>
    <row r="34" spans="1:14" s="53" customFormat="1" ht="60.75" customHeight="1" x14ac:dyDescent="0.25">
      <c r="A34" s="169">
        <v>1110000</v>
      </c>
      <c r="B34" s="170"/>
      <c r="C34" s="170"/>
      <c r="D34" s="174" t="s">
        <v>51</v>
      </c>
      <c r="E34" s="172"/>
      <c r="F34" s="173"/>
      <c r="G34" s="265"/>
      <c r="H34" s="265"/>
      <c r="I34" s="265"/>
      <c r="J34" s="265"/>
      <c r="K34" s="266"/>
      <c r="L34" s="266"/>
      <c r="M34" s="266"/>
      <c r="N34" s="266"/>
    </row>
    <row r="35" spans="1:14" s="51" customFormat="1" ht="53.25" customHeight="1" x14ac:dyDescent="0.25">
      <c r="A35" s="48">
        <v>1113132</v>
      </c>
      <c r="B35" s="21" t="s">
        <v>52</v>
      </c>
      <c r="C35" s="21" t="s">
        <v>53</v>
      </c>
      <c r="D35" s="28" t="s">
        <v>54</v>
      </c>
      <c r="E35" s="54"/>
      <c r="F35" s="13" t="s">
        <v>409</v>
      </c>
      <c r="G35" s="261">
        <f>G36</f>
        <v>1.5</v>
      </c>
      <c r="H35" s="261">
        <f>H36</f>
        <v>1.5</v>
      </c>
      <c r="I35" s="261">
        <f>I36</f>
        <v>1.5</v>
      </c>
      <c r="J35" s="261">
        <f>I35/G35*100</f>
        <v>100</v>
      </c>
      <c r="K35" s="261">
        <f>K36</f>
        <v>0</v>
      </c>
      <c r="L35" s="261"/>
      <c r="M35" s="261"/>
      <c r="N35" s="261"/>
    </row>
    <row r="36" spans="1:14" s="51" customFormat="1" ht="32.25" customHeight="1" x14ac:dyDescent="0.25">
      <c r="A36" s="42"/>
      <c r="B36" s="21"/>
      <c r="C36" s="21"/>
      <c r="D36" s="43"/>
      <c r="E36" s="54"/>
      <c r="F36" s="43" t="s">
        <v>411</v>
      </c>
      <c r="G36" s="260">
        <v>1.5</v>
      </c>
      <c r="H36" s="260">
        <v>1.5</v>
      </c>
      <c r="I36" s="260">
        <v>1.5</v>
      </c>
      <c r="J36" s="260"/>
      <c r="K36" s="260"/>
      <c r="L36" s="260"/>
      <c r="M36" s="260"/>
      <c r="N36" s="260"/>
    </row>
    <row r="37" spans="1:14" s="56" customFormat="1" ht="24.75" customHeight="1" x14ac:dyDescent="0.25">
      <c r="A37" s="24"/>
      <c r="B37" s="24"/>
      <c r="C37" s="24"/>
      <c r="D37" s="197" t="s">
        <v>50</v>
      </c>
      <c r="E37" s="199"/>
      <c r="F37" s="200"/>
      <c r="G37" s="262">
        <f>G35</f>
        <v>1.5</v>
      </c>
      <c r="H37" s="262">
        <f>H35</f>
        <v>1.5</v>
      </c>
      <c r="I37" s="262">
        <f t="shared" ref="I37:J37" si="4">I35</f>
        <v>1.5</v>
      </c>
      <c r="J37" s="262">
        <f t="shared" si="4"/>
        <v>100</v>
      </c>
      <c r="K37" s="262">
        <f>K35</f>
        <v>0</v>
      </c>
      <c r="L37" s="262"/>
      <c r="M37" s="262"/>
      <c r="N37" s="262"/>
    </row>
    <row r="38" spans="1:14" s="19" customFormat="1" ht="78" customHeight="1" x14ac:dyDescent="0.25">
      <c r="A38" s="176" t="s">
        <v>57</v>
      </c>
      <c r="B38" s="177"/>
      <c r="C38" s="177"/>
      <c r="D38" s="163" t="s">
        <v>407</v>
      </c>
      <c r="E38" s="178"/>
      <c r="F38" s="179"/>
      <c r="G38" s="267"/>
      <c r="H38" s="267"/>
      <c r="I38" s="267"/>
      <c r="J38" s="267"/>
      <c r="K38" s="267"/>
      <c r="L38" s="267"/>
      <c r="M38" s="267"/>
      <c r="N38" s="267"/>
    </row>
    <row r="39" spans="1:14" s="19" customFormat="1" ht="84.75" customHeight="1" x14ac:dyDescent="0.25">
      <c r="A39" s="176" t="s">
        <v>59</v>
      </c>
      <c r="B39" s="177"/>
      <c r="C39" s="177"/>
      <c r="D39" s="175" t="s">
        <v>58</v>
      </c>
      <c r="E39" s="178"/>
      <c r="F39" s="179"/>
      <c r="G39" s="267"/>
      <c r="H39" s="267"/>
      <c r="I39" s="267"/>
      <c r="J39" s="267"/>
      <c r="K39" s="267"/>
      <c r="L39" s="267"/>
      <c r="M39" s="267"/>
      <c r="N39" s="267"/>
    </row>
    <row r="40" spans="1:14" s="19" customFormat="1" ht="42" customHeight="1" x14ac:dyDescent="0.25">
      <c r="A40" s="49" t="s">
        <v>60</v>
      </c>
      <c r="B40" s="24" t="s">
        <v>61</v>
      </c>
      <c r="C40" s="24"/>
      <c r="D40" s="155" t="s">
        <v>62</v>
      </c>
      <c r="E40" s="57"/>
      <c r="F40" s="58"/>
      <c r="G40" s="261">
        <f>G41+G42+G46+G47+G48</f>
        <v>554.9</v>
      </c>
      <c r="H40" s="261">
        <f>H41+H42+H46+H47+H48</f>
        <v>484</v>
      </c>
      <c r="I40" s="261">
        <f>I41+I42+I46+I47+I48</f>
        <v>324.10000000000002</v>
      </c>
      <c r="J40" s="261">
        <f>I40/G40*100</f>
        <v>58.406920165795654</v>
      </c>
      <c r="K40" s="261">
        <f>K41+K42+K46+K47+K48</f>
        <v>0</v>
      </c>
      <c r="L40" s="261"/>
      <c r="M40" s="261"/>
      <c r="N40" s="261"/>
    </row>
    <row r="41" spans="1:14" s="19" customFormat="1" ht="83.25" customHeight="1" x14ac:dyDescent="0.25">
      <c r="A41" s="21" t="s">
        <v>63</v>
      </c>
      <c r="B41" s="21" t="s">
        <v>64</v>
      </c>
      <c r="C41" s="21" t="s">
        <v>65</v>
      </c>
      <c r="D41" s="16" t="s">
        <v>66</v>
      </c>
      <c r="E41" s="57"/>
      <c r="F41" s="59" t="s">
        <v>67</v>
      </c>
      <c r="G41" s="261">
        <v>149.5</v>
      </c>
      <c r="H41" s="261">
        <v>149.5</v>
      </c>
      <c r="I41" s="261">
        <v>103.4</v>
      </c>
      <c r="J41" s="261"/>
      <c r="K41" s="261"/>
      <c r="L41" s="261"/>
      <c r="M41" s="261"/>
      <c r="N41" s="261"/>
    </row>
    <row r="42" spans="1:14" s="19" customFormat="1" ht="40.5" customHeight="1" x14ac:dyDescent="0.25">
      <c r="A42" s="24" t="s">
        <v>68</v>
      </c>
      <c r="B42" s="24" t="s">
        <v>69</v>
      </c>
      <c r="C42" s="24" t="s">
        <v>70</v>
      </c>
      <c r="D42" s="16" t="s">
        <v>71</v>
      </c>
      <c r="E42" s="57"/>
      <c r="F42" s="59" t="s">
        <v>72</v>
      </c>
      <c r="G42" s="261">
        <f>G43+G44+G45</f>
        <v>75.400000000000006</v>
      </c>
      <c r="H42" s="261">
        <f>H43+H44+H45</f>
        <v>56.5</v>
      </c>
      <c r="I42" s="261">
        <f>I43+I44+I45</f>
        <v>9.9</v>
      </c>
      <c r="J42" s="261">
        <f>I42/G42*100</f>
        <v>13.12997347480106</v>
      </c>
      <c r="K42" s="261">
        <f>K43+K44+K45</f>
        <v>0</v>
      </c>
      <c r="L42" s="261"/>
      <c r="M42" s="261"/>
      <c r="N42" s="261"/>
    </row>
    <row r="43" spans="1:14" s="51" customFormat="1" ht="36" customHeight="1" x14ac:dyDescent="0.25">
      <c r="A43" s="21"/>
      <c r="B43" s="21"/>
      <c r="C43" s="21"/>
      <c r="D43" s="28"/>
      <c r="E43" s="28"/>
      <c r="F43" s="43" t="s">
        <v>73</v>
      </c>
      <c r="G43" s="260">
        <v>15</v>
      </c>
      <c r="H43" s="260">
        <v>8</v>
      </c>
      <c r="I43" s="260">
        <v>0</v>
      </c>
      <c r="J43" s="260"/>
      <c r="K43" s="260"/>
      <c r="L43" s="260"/>
      <c r="M43" s="260"/>
      <c r="N43" s="260"/>
    </row>
    <row r="44" spans="1:14" s="51" customFormat="1" ht="81.75" customHeight="1" x14ac:dyDescent="0.25">
      <c r="A44" s="42"/>
      <c r="B44" s="21"/>
      <c r="C44" s="21"/>
      <c r="D44" s="43"/>
      <c r="E44" s="28"/>
      <c r="F44" s="43" t="s">
        <v>412</v>
      </c>
      <c r="G44" s="260">
        <v>40</v>
      </c>
      <c r="H44" s="260">
        <v>40</v>
      </c>
      <c r="I44" s="260">
        <v>7.7</v>
      </c>
      <c r="J44" s="260"/>
      <c r="K44" s="260"/>
      <c r="L44" s="260"/>
      <c r="M44" s="260"/>
      <c r="N44" s="260"/>
    </row>
    <row r="45" spans="1:14" s="19" customFormat="1" ht="33" customHeight="1" x14ac:dyDescent="0.25">
      <c r="A45" s="24"/>
      <c r="B45" s="24"/>
      <c r="C45" s="24"/>
      <c r="D45" s="57"/>
      <c r="E45" s="57"/>
      <c r="F45" s="60" t="s">
        <v>75</v>
      </c>
      <c r="G45" s="260">
        <v>20.399999999999999</v>
      </c>
      <c r="H45" s="260">
        <v>8.5</v>
      </c>
      <c r="I45" s="260">
        <v>2.2000000000000002</v>
      </c>
      <c r="J45" s="260"/>
      <c r="K45" s="260"/>
      <c r="L45" s="260"/>
      <c r="M45" s="260"/>
      <c r="N45" s="260"/>
    </row>
    <row r="46" spans="1:14" s="51" customFormat="1" ht="89.25" customHeight="1" x14ac:dyDescent="0.25">
      <c r="A46" s="21" t="s">
        <v>76</v>
      </c>
      <c r="B46" s="21" t="s">
        <v>77</v>
      </c>
      <c r="C46" s="21" t="s">
        <v>70</v>
      </c>
      <c r="D46" s="28" t="s">
        <v>78</v>
      </c>
      <c r="E46" s="28"/>
      <c r="F46" s="60" t="s">
        <v>79</v>
      </c>
      <c r="G46" s="261">
        <v>30</v>
      </c>
      <c r="H46" s="261">
        <v>14</v>
      </c>
      <c r="I46" s="261">
        <v>8.1</v>
      </c>
      <c r="J46" s="261">
        <f t="shared" ref="J46:J54" si="5">I46/G46*100</f>
        <v>26.999999999999996</v>
      </c>
      <c r="K46" s="261">
        <v>0</v>
      </c>
      <c r="L46" s="261"/>
      <c r="M46" s="261"/>
      <c r="N46" s="261"/>
    </row>
    <row r="47" spans="1:14" s="51" customFormat="1" ht="78.75" customHeight="1" x14ac:dyDescent="0.25">
      <c r="A47" s="21" t="s">
        <v>80</v>
      </c>
      <c r="B47" s="21" t="s">
        <v>81</v>
      </c>
      <c r="C47" s="21" t="s">
        <v>70</v>
      </c>
      <c r="D47" s="28" t="s">
        <v>82</v>
      </c>
      <c r="E47" s="28"/>
      <c r="F47" s="59" t="s">
        <v>83</v>
      </c>
      <c r="G47" s="261">
        <v>150</v>
      </c>
      <c r="H47" s="261">
        <v>150</v>
      </c>
      <c r="I47" s="261">
        <v>88.7</v>
      </c>
      <c r="J47" s="261">
        <f t="shared" si="5"/>
        <v>59.13333333333334</v>
      </c>
      <c r="K47" s="261"/>
      <c r="L47" s="261"/>
      <c r="M47" s="261"/>
      <c r="N47" s="261"/>
    </row>
    <row r="48" spans="1:14" s="19" customFormat="1" ht="71.25" customHeight="1" x14ac:dyDescent="0.25">
      <c r="A48" s="21" t="s">
        <v>84</v>
      </c>
      <c r="B48" s="21" t="s">
        <v>85</v>
      </c>
      <c r="C48" s="21" t="s">
        <v>70</v>
      </c>
      <c r="D48" s="28" t="s">
        <v>86</v>
      </c>
      <c r="E48" s="57"/>
      <c r="F48" s="61" t="s">
        <v>87</v>
      </c>
      <c r="G48" s="261">
        <v>150</v>
      </c>
      <c r="H48" s="261">
        <v>114</v>
      </c>
      <c r="I48" s="261">
        <v>114</v>
      </c>
      <c r="J48" s="261">
        <f t="shared" si="5"/>
        <v>76</v>
      </c>
      <c r="K48" s="261"/>
      <c r="L48" s="261"/>
      <c r="M48" s="261"/>
      <c r="N48" s="261"/>
    </row>
    <row r="49" spans="1:14" s="19" customFormat="1" ht="33.75" customHeight="1" x14ac:dyDescent="0.25">
      <c r="A49" s="207" t="s">
        <v>88</v>
      </c>
      <c r="B49" s="207" t="s">
        <v>89</v>
      </c>
      <c r="C49" s="207" t="s">
        <v>70</v>
      </c>
      <c r="D49" s="208" t="s">
        <v>90</v>
      </c>
      <c r="E49" s="203"/>
      <c r="F49" s="209"/>
      <c r="G49" s="268">
        <f>G50+G51+G52+G53</f>
        <v>487.7</v>
      </c>
      <c r="H49" s="268">
        <f>H50+H51+H52+H53</f>
        <v>210</v>
      </c>
      <c r="I49" s="268">
        <f>I50+I51+I52+I53</f>
        <v>155</v>
      </c>
      <c r="J49" s="268">
        <f t="shared" si="5"/>
        <v>31.781833094115235</v>
      </c>
      <c r="K49" s="268">
        <f>K50+K51+K52+K53</f>
        <v>0</v>
      </c>
      <c r="L49" s="268"/>
      <c r="M49" s="268"/>
      <c r="N49" s="268"/>
    </row>
    <row r="50" spans="1:14" s="19" customFormat="1" ht="55.5" customHeight="1" x14ac:dyDescent="0.25">
      <c r="A50" s="21" t="s">
        <v>91</v>
      </c>
      <c r="B50" s="42">
        <v>2221</v>
      </c>
      <c r="C50" s="21" t="s">
        <v>70</v>
      </c>
      <c r="D50" s="28"/>
      <c r="E50" s="28"/>
      <c r="F50" s="13" t="s">
        <v>280</v>
      </c>
      <c r="G50" s="261">
        <v>130</v>
      </c>
      <c r="H50" s="261">
        <v>54.5</v>
      </c>
      <c r="I50" s="261">
        <v>35</v>
      </c>
      <c r="J50" s="261">
        <f t="shared" si="5"/>
        <v>26.923076923076923</v>
      </c>
      <c r="K50" s="260"/>
      <c r="L50" s="260"/>
      <c r="M50" s="260"/>
      <c r="N50" s="260"/>
    </row>
    <row r="51" spans="1:14" s="19" customFormat="1" ht="105" customHeight="1" x14ac:dyDescent="0.25">
      <c r="A51" s="21" t="s">
        <v>92</v>
      </c>
      <c r="B51" s="42">
        <v>2222</v>
      </c>
      <c r="C51" s="21" t="s">
        <v>70</v>
      </c>
      <c r="D51" s="28"/>
      <c r="E51" s="28"/>
      <c r="F51" s="62" t="s">
        <v>93</v>
      </c>
      <c r="G51" s="261">
        <v>72</v>
      </c>
      <c r="H51" s="261">
        <v>30</v>
      </c>
      <c r="I51" s="261">
        <v>13</v>
      </c>
      <c r="J51" s="261">
        <f t="shared" si="5"/>
        <v>18.055555555555554</v>
      </c>
      <c r="K51" s="261"/>
      <c r="L51" s="261"/>
      <c r="M51" s="261"/>
      <c r="N51" s="261"/>
    </row>
    <row r="52" spans="1:14" s="19" customFormat="1" ht="86.25" customHeight="1" x14ac:dyDescent="0.25">
      <c r="A52" s="21" t="s">
        <v>94</v>
      </c>
      <c r="B52" s="42">
        <v>2223</v>
      </c>
      <c r="C52" s="21" t="s">
        <v>70</v>
      </c>
      <c r="D52" s="28"/>
      <c r="E52" s="28"/>
      <c r="F52" s="43" t="s">
        <v>95</v>
      </c>
      <c r="G52" s="261">
        <v>226</v>
      </c>
      <c r="H52" s="261">
        <v>95.5</v>
      </c>
      <c r="I52" s="261">
        <v>78.400000000000006</v>
      </c>
      <c r="J52" s="261">
        <f t="shared" si="5"/>
        <v>34.690265486725671</v>
      </c>
      <c r="K52" s="261"/>
      <c r="L52" s="261"/>
      <c r="M52" s="261"/>
      <c r="N52" s="261"/>
    </row>
    <row r="53" spans="1:14" s="51" customFormat="1" ht="69.75" customHeight="1" x14ac:dyDescent="0.25">
      <c r="A53" s="42">
        <v>1512224</v>
      </c>
      <c r="B53" s="21" t="s">
        <v>96</v>
      </c>
      <c r="C53" s="21" t="s">
        <v>70</v>
      </c>
      <c r="D53" s="16"/>
      <c r="E53" s="28"/>
      <c r="F53" s="13" t="s">
        <v>97</v>
      </c>
      <c r="G53" s="261">
        <v>59.7</v>
      </c>
      <c r="H53" s="261">
        <v>30</v>
      </c>
      <c r="I53" s="261">
        <v>28.6</v>
      </c>
      <c r="J53" s="261">
        <f t="shared" si="5"/>
        <v>47.906197654941373</v>
      </c>
      <c r="K53" s="261"/>
      <c r="L53" s="261"/>
      <c r="M53" s="261"/>
      <c r="N53" s="261"/>
    </row>
    <row r="54" spans="1:14" s="64" customFormat="1" ht="85.5" customHeight="1" x14ac:dyDescent="0.25">
      <c r="A54" s="42">
        <v>1513240</v>
      </c>
      <c r="B54" s="21" t="s">
        <v>98</v>
      </c>
      <c r="C54" s="21" t="s">
        <v>99</v>
      </c>
      <c r="D54" s="45" t="s">
        <v>100</v>
      </c>
      <c r="E54" s="63" t="s">
        <v>100</v>
      </c>
      <c r="F54" s="45" t="s">
        <v>101</v>
      </c>
      <c r="G54" s="261">
        <f>50+23.5</f>
        <v>73.5</v>
      </c>
      <c r="H54" s="261">
        <v>25.6</v>
      </c>
      <c r="I54" s="261">
        <v>24.948</v>
      </c>
      <c r="J54" s="261">
        <f t="shared" si="5"/>
        <v>33.942857142857143</v>
      </c>
      <c r="K54" s="261"/>
      <c r="L54" s="261"/>
      <c r="M54" s="261"/>
      <c r="N54" s="261"/>
    </row>
    <row r="55" spans="1:14" s="65" customFormat="1" ht="36" customHeight="1" x14ac:dyDescent="0.25">
      <c r="A55" s="48">
        <v>1513190</v>
      </c>
      <c r="B55" s="49" t="s">
        <v>102</v>
      </c>
      <c r="C55" s="49" t="s">
        <v>103</v>
      </c>
      <c r="D55" s="47"/>
      <c r="E55" s="47"/>
      <c r="F55" s="13" t="s">
        <v>281</v>
      </c>
      <c r="G55" s="261">
        <f>G56+G57+G60</f>
        <v>384.5</v>
      </c>
      <c r="H55" s="261">
        <f>H56+H57+H60</f>
        <v>155.6</v>
      </c>
      <c r="I55" s="261">
        <f>I56+I57+I60</f>
        <v>46.2</v>
      </c>
      <c r="J55" s="261">
        <f t="shared" ref="J55:N55" si="6">J56+J57+J60</f>
        <v>0</v>
      </c>
      <c r="K55" s="261">
        <f t="shared" si="6"/>
        <v>500</v>
      </c>
      <c r="L55" s="261">
        <f t="shared" si="6"/>
        <v>0</v>
      </c>
      <c r="M55" s="261">
        <f t="shared" si="6"/>
        <v>0</v>
      </c>
      <c r="N55" s="261">
        <f t="shared" si="6"/>
        <v>0</v>
      </c>
    </row>
    <row r="56" spans="1:14" s="65" customFormat="1" ht="115.5" customHeight="1" x14ac:dyDescent="0.25">
      <c r="A56" s="42">
        <v>1513190</v>
      </c>
      <c r="B56" s="21" t="s">
        <v>102</v>
      </c>
      <c r="C56" s="21" t="s">
        <v>103</v>
      </c>
      <c r="D56" s="16" t="s">
        <v>104</v>
      </c>
      <c r="E56" s="47"/>
      <c r="F56" s="43" t="s">
        <v>300</v>
      </c>
      <c r="G56" s="260">
        <v>150</v>
      </c>
      <c r="H56" s="260">
        <v>62.5</v>
      </c>
      <c r="I56" s="260">
        <v>11.8</v>
      </c>
      <c r="J56" s="260"/>
      <c r="K56" s="260"/>
      <c r="L56" s="260"/>
      <c r="M56" s="260"/>
      <c r="N56" s="260"/>
    </row>
    <row r="57" spans="1:14" s="65" customFormat="1" ht="37.5" customHeight="1" x14ac:dyDescent="0.25">
      <c r="A57" s="42">
        <v>1513200</v>
      </c>
      <c r="B57" s="21" t="s">
        <v>105</v>
      </c>
      <c r="C57" s="21"/>
      <c r="D57" s="68" t="s">
        <v>106</v>
      </c>
      <c r="E57" s="47"/>
      <c r="F57" s="43"/>
      <c r="G57" s="260">
        <f>G58+G59</f>
        <v>234.5</v>
      </c>
      <c r="H57" s="260">
        <f>H58+H59</f>
        <v>93.1</v>
      </c>
      <c r="I57" s="260">
        <f>I58+I59</f>
        <v>34.4</v>
      </c>
      <c r="J57" s="260"/>
      <c r="K57" s="260">
        <f>K58+K59</f>
        <v>0</v>
      </c>
      <c r="L57" s="260"/>
      <c r="M57" s="260"/>
      <c r="N57" s="260"/>
    </row>
    <row r="58" spans="1:14" s="65" customFormat="1" ht="133.5" customHeight="1" x14ac:dyDescent="0.25">
      <c r="A58" s="42">
        <v>1513201</v>
      </c>
      <c r="B58" s="21" t="s">
        <v>107</v>
      </c>
      <c r="C58" s="21" t="s">
        <v>108</v>
      </c>
      <c r="D58" s="16" t="s">
        <v>109</v>
      </c>
      <c r="E58" s="13"/>
      <c r="F58" s="43" t="s">
        <v>110</v>
      </c>
      <c r="G58" s="260">
        <v>200</v>
      </c>
      <c r="H58" s="260">
        <v>78</v>
      </c>
      <c r="I58" s="260">
        <v>21</v>
      </c>
      <c r="J58" s="260"/>
      <c r="K58" s="260"/>
      <c r="L58" s="260"/>
      <c r="M58" s="260"/>
      <c r="N58" s="260"/>
    </row>
    <row r="59" spans="1:14" s="10" customFormat="1" ht="65.25" customHeight="1" x14ac:dyDescent="0.25">
      <c r="A59" s="42">
        <v>1513202</v>
      </c>
      <c r="B59" s="42">
        <v>3202</v>
      </c>
      <c r="C59" s="42">
        <v>1030</v>
      </c>
      <c r="D59" s="16" t="s">
        <v>111</v>
      </c>
      <c r="E59" s="66"/>
      <c r="F59" s="43" t="s">
        <v>112</v>
      </c>
      <c r="G59" s="260">
        <v>34.5</v>
      </c>
      <c r="H59" s="260">
        <v>15.1</v>
      </c>
      <c r="I59" s="260">
        <v>13.4</v>
      </c>
      <c r="J59" s="260"/>
      <c r="K59" s="260"/>
      <c r="L59" s="260"/>
      <c r="M59" s="260"/>
      <c r="N59" s="260"/>
    </row>
    <row r="60" spans="1:14" s="10" customFormat="1" ht="101.25" customHeight="1" x14ac:dyDescent="0.3">
      <c r="A60" s="233" t="s">
        <v>359</v>
      </c>
      <c r="B60" s="233" t="s">
        <v>360</v>
      </c>
      <c r="C60" s="233" t="s">
        <v>103</v>
      </c>
      <c r="D60" s="238" t="s">
        <v>361</v>
      </c>
      <c r="E60" s="66"/>
      <c r="F60" s="43" t="s">
        <v>358</v>
      </c>
      <c r="G60" s="260">
        <v>0</v>
      </c>
      <c r="H60" s="260">
        <v>0</v>
      </c>
      <c r="I60" s="260">
        <v>0</v>
      </c>
      <c r="J60" s="260"/>
      <c r="K60" s="260">
        <v>500</v>
      </c>
      <c r="L60" s="260">
        <v>0</v>
      </c>
      <c r="M60" s="260">
        <v>0</v>
      </c>
      <c r="N60" s="260"/>
    </row>
    <row r="61" spans="1:14" s="65" customFormat="1" ht="38.25" customHeight="1" x14ac:dyDescent="0.25">
      <c r="A61" s="21"/>
      <c r="B61" s="21"/>
      <c r="C61" s="21"/>
      <c r="D61" s="43"/>
      <c r="E61" s="43"/>
      <c r="F61" s="43" t="s">
        <v>113</v>
      </c>
      <c r="G61" s="261">
        <f>G62+G68+G70+G71+G74</f>
        <v>4982.2999999999993</v>
      </c>
      <c r="H61" s="261">
        <f>H62+H68+H70+H71+H74</f>
        <v>1689.8</v>
      </c>
      <c r="I61" s="261">
        <f>I62+I68+I70+I71+I74</f>
        <v>1170.0999999999999</v>
      </c>
      <c r="J61" s="261"/>
      <c r="K61" s="261"/>
      <c r="L61" s="261"/>
      <c r="M61" s="261"/>
      <c r="N61" s="261"/>
    </row>
    <row r="62" spans="1:14" s="65" customFormat="1" ht="275.25" customHeight="1" x14ac:dyDescent="0.25">
      <c r="A62" s="11" t="s">
        <v>114</v>
      </c>
      <c r="B62" s="11" t="s">
        <v>115</v>
      </c>
      <c r="C62" s="11" t="s">
        <v>108</v>
      </c>
      <c r="D62" s="67" t="s">
        <v>116</v>
      </c>
      <c r="E62" s="156" t="s">
        <v>116</v>
      </c>
      <c r="F62" s="43"/>
      <c r="G62" s="261">
        <f>G66+G67+G63+G64+G65</f>
        <v>1735.1</v>
      </c>
      <c r="H62" s="261">
        <f>H66+H67+H63+H64+H65</f>
        <v>607.6</v>
      </c>
      <c r="I62" s="261">
        <f>I66+I67+I63+I64+I65</f>
        <v>382.3</v>
      </c>
      <c r="J62" s="261"/>
      <c r="K62" s="261"/>
      <c r="L62" s="261"/>
      <c r="M62" s="261"/>
      <c r="N62" s="261"/>
    </row>
    <row r="63" spans="1:14" s="228" customFormat="1" ht="54" customHeight="1" x14ac:dyDescent="0.25">
      <c r="A63" s="42">
        <v>1513031</v>
      </c>
      <c r="B63" s="21" t="s">
        <v>326</v>
      </c>
      <c r="C63" s="21"/>
      <c r="D63" s="28"/>
      <c r="E63" s="47"/>
      <c r="F63" s="43" t="s">
        <v>329</v>
      </c>
      <c r="G63" s="260">
        <v>75</v>
      </c>
      <c r="H63" s="260">
        <v>0</v>
      </c>
      <c r="I63" s="260">
        <v>0</v>
      </c>
      <c r="J63" s="260"/>
      <c r="K63" s="260"/>
      <c r="L63" s="260"/>
      <c r="M63" s="260"/>
      <c r="N63" s="260"/>
    </row>
    <row r="64" spans="1:14" s="228" customFormat="1" ht="54" customHeight="1" x14ac:dyDescent="0.25">
      <c r="A64" s="42">
        <v>1513033</v>
      </c>
      <c r="B64" s="21" t="s">
        <v>327</v>
      </c>
      <c r="C64" s="21"/>
      <c r="D64" s="28"/>
      <c r="E64" s="47"/>
      <c r="F64" s="43" t="s">
        <v>330</v>
      </c>
      <c r="G64" s="260">
        <v>36</v>
      </c>
      <c r="H64" s="260">
        <v>13</v>
      </c>
      <c r="I64" s="260">
        <v>5.3</v>
      </c>
      <c r="J64" s="260"/>
      <c r="K64" s="260"/>
      <c r="L64" s="260"/>
      <c r="M64" s="260"/>
      <c r="N64" s="260"/>
    </row>
    <row r="65" spans="1:14" s="228" customFormat="1" ht="54" customHeight="1" x14ac:dyDescent="0.25">
      <c r="A65" s="42">
        <v>1513034</v>
      </c>
      <c r="B65" s="21" t="s">
        <v>328</v>
      </c>
      <c r="C65" s="21"/>
      <c r="D65" s="28"/>
      <c r="E65" s="47"/>
      <c r="F65" s="43" t="s">
        <v>331</v>
      </c>
      <c r="G65" s="260">
        <v>244.1</v>
      </c>
      <c r="H65" s="260">
        <v>179.7</v>
      </c>
      <c r="I65" s="260">
        <v>157.4</v>
      </c>
      <c r="J65" s="260"/>
      <c r="K65" s="260"/>
      <c r="L65" s="260"/>
      <c r="M65" s="260"/>
      <c r="N65" s="260"/>
    </row>
    <row r="66" spans="1:14" s="228" customFormat="1" ht="54" customHeight="1" x14ac:dyDescent="0.25">
      <c r="A66" s="42">
        <v>1513035</v>
      </c>
      <c r="B66" s="21" t="s">
        <v>117</v>
      </c>
      <c r="C66" s="21" t="s">
        <v>118</v>
      </c>
      <c r="D66" s="28" t="s">
        <v>119</v>
      </c>
      <c r="E66" s="47"/>
      <c r="F66" s="43" t="s">
        <v>120</v>
      </c>
      <c r="G66" s="260">
        <v>1350</v>
      </c>
      <c r="H66" s="260">
        <v>395.3</v>
      </c>
      <c r="I66" s="260">
        <v>200.6</v>
      </c>
      <c r="J66" s="260"/>
      <c r="K66" s="260"/>
      <c r="L66" s="260"/>
      <c r="M66" s="260"/>
      <c r="N66" s="260"/>
    </row>
    <row r="67" spans="1:14" s="228" customFormat="1" ht="54" customHeight="1" x14ac:dyDescent="0.25">
      <c r="A67" s="42">
        <v>1513037</v>
      </c>
      <c r="B67" s="21" t="s">
        <v>121</v>
      </c>
      <c r="C67" s="21" t="s">
        <v>118</v>
      </c>
      <c r="D67" s="28" t="s">
        <v>122</v>
      </c>
      <c r="E67" s="47"/>
      <c r="F67" s="43" t="s">
        <v>123</v>
      </c>
      <c r="G67" s="260">
        <v>30</v>
      </c>
      <c r="H67" s="260">
        <v>19.600000000000001</v>
      </c>
      <c r="I67" s="260">
        <v>19</v>
      </c>
      <c r="J67" s="260"/>
      <c r="K67" s="260"/>
      <c r="L67" s="260"/>
      <c r="M67" s="260"/>
      <c r="N67" s="260"/>
    </row>
    <row r="68" spans="1:14" s="65" customFormat="1" ht="120.75" customHeight="1" x14ac:dyDescent="0.25">
      <c r="A68" s="42">
        <v>1513180</v>
      </c>
      <c r="B68" s="21" t="s">
        <v>124</v>
      </c>
      <c r="C68" s="21"/>
      <c r="D68" s="67" t="s">
        <v>125</v>
      </c>
      <c r="E68" s="47"/>
      <c r="F68" s="43"/>
      <c r="G68" s="260">
        <f>G69</f>
        <v>200</v>
      </c>
      <c r="H68" s="260">
        <v>81</v>
      </c>
      <c r="I68" s="260">
        <v>56.9</v>
      </c>
      <c r="J68" s="260"/>
      <c r="K68" s="260">
        <f>K69</f>
        <v>0</v>
      </c>
      <c r="L68" s="260"/>
      <c r="M68" s="260"/>
      <c r="N68" s="260"/>
    </row>
    <row r="69" spans="1:14" s="10" customFormat="1" ht="101.25" customHeight="1" x14ac:dyDescent="0.25">
      <c r="A69" s="21" t="s">
        <v>126</v>
      </c>
      <c r="B69" s="21" t="s">
        <v>127</v>
      </c>
      <c r="C69" s="21" t="s">
        <v>128</v>
      </c>
      <c r="D69" s="43" t="s">
        <v>129</v>
      </c>
      <c r="E69" s="44"/>
      <c r="F69" s="45" t="s">
        <v>130</v>
      </c>
      <c r="G69" s="260">
        <v>200</v>
      </c>
      <c r="H69" s="260">
        <v>81</v>
      </c>
      <c r="I69" s="260">
        <v>56.96</v>
      </c>
      <c r="J69" s="260"/>
      <c r="K69" s="260"/>
      <c r="L69" s="260"/>
      <c r="M69" s="260"/>
      <c r="N69" s="260"/>
    </row>
    <row r="70" spans="1:14" s="64" customFormat="1" ht="114" customHeight="1" x14ac:dyDescent="0.25">
      <c r="A70" s="21" t="s">
        <v>131</v>
      </c>
      <c r="B70" s="21" t="s">
        <v>102</v>
      </c>
      <c r="C70" s="21" t="s">
        <v>103</v>
      </c>
      <c r="D70" s="16" t="s">
        <v>104</v>
      </c>
      <c r="E70" s="44"/>
      <c r="F70" s="45" t="s">
        <v>132</v>
      </c>
      <c r="G70" s="260">
        <v>116</v>
      </c>
      <c r="H70" s="260">
        <v>31.3</v>
      </c>
      <c r="I70" s="260">
        <v>15.2</v>
      </c>
      <c r="J70" s="260"/>
      <c r="K70" s="260"/>
      <c r="L70" s="260"/>
      <c r="M70" s="260"/>
      <c r="N70" s="260"/>
    </row>
    <row r="71" spans="1:14" s="64" customFormat="1" ht="38.25" customHeight="1" x14ac:dyDescent="0.25">
      <c r="A71" s="21" t="s">
        <v>133</v>
      </c>
      <c r="B71" s="21" t="s">
        <v>105</v>
      </c>
      <c r="C71" s="21"/>
      <c r="D71" s="68" t="s">
        <v>106</v>
      </c>
      <c r="E71" s="44"/>
      <c r="F71" s="45"/>
      <c r="G71" s="260">
        <f>G72+G73</f>
        <v>1130.0999999999999</v>
      </c>
      <c r="H71" s="260">
        <f>H72+H73</f>
        <v>199.2</v>
      </c>
      <c r="I71" s="260">
        <f>I72+I73</f>
        <v>163.6</v>
      </c>
      <c r="J71" s="260"/>
      <c r="K71" s="260">
        <f>K72+K73</f>
        <v>0</v>
      </c>
      <c r="L71" s="260"/>
      <c r="M71" s="260"/>
      <c r="N71" s="260"/>
    </row>
    <row r="72" spans="1:14" s="64" customFormat="1" ht="113.25" customHeight="1" x14ac:dyDescent="0.25">
      <c r="A72" s="21" t="s">
        <v>134</v>
      </c>
      <c r="B72" s="21" t="s">
        <v>107</v>
      </c>
      <c r="C72" s="21" t="s">
        <v>108</v>
      </c>
      <c r="D72" s="16" t="s">
        <v>109</v>
      </c>
      <c r="E72" s="44"/>
      <c r="F72" s="88" t="s">
        <v>135</v>
      </c>
      <c r="G72" s="260">
        <v>974</v>
      </c>
      <c r="H72" s="260">
        <v>118.3</v>
      </c>
      <c r="I72" s="260">
        <v>98.1</v>
      </c>
      <c r="J72" s="260"/>
      <c r="K72" s="260"/>
      <c r="L72" s="260"/>
      <c r="M72" s="260"/>
      <c r="N72" s="260"/>
    </row>
    <row r="73" spans="1:14" s="10" customFormat="1" ht="78" customHeight="1" x14ac:dyDescent="0.25">
      <c r="A73" s="24" t="s">
        <v>136</v>
      </c>
      <c r="B73" s="21" t="s">
        <v>137</v>
      </c>
      <c r="C73" s="21" t="s">
        <v>108</v>
      </c>
      <c r="D73" s="43" t="s">
        <v>111</v>
      </c>
      <c r="E73" s="44"/>
      <c r="F73" s="43" t="s">
        <v>138</v>
      </c>
      <c r="G73" s="260">
        <v>156.1</v>
      </c>
      <c r="H73" s="260">
        <v>80.900000000000006</v>
      </c>
      <c r="I73" s="260">
        <v>65.5</v>
      </c>
      <c r="J73" s="260"/>
      <c r="K73" s="260"/>
      <c r="L73" s="260"/>
      <c r="M73" s="260"/>
      <c r="N73" s="260"/>
    </row>
    <row r="74" spans="1:14" s="10" customFormat="1" ht="40.5" customHeight="1" x14ac:dyDescent="0.25">
      <c r="A74" s="24" t="s">
        <v>139</v>
      </c>
      <c r="B74" s="21" t="s">
        <v>140</v>
      </c>
      <c r="C74" s="21" t="s">
        <v>141</v>
      </c>
      <c r="D74" s="68" t="s">
        <v>142</v>
      </c>
      <c r="E74" s="44"/>
      <c r="F74" s="43"/>
      <c r="G74" s="260">
        <f>G75</f>
        <v>1801.1</v>
      </c>
      <c r="H74" s="260">
        <f>H75</f>
        <v>770.7</v>
      </c>
      <c r="I74" s="260">
        <f>I75</f>
        <v>552.1</v>
      </c>
      <c r="J74" s="260"/>
      <c r="K74" s="260">
        <f>K75</f>
        <v>0</v>
      </c>
      <c r="L74" s="260"/>
      <c r="M74" s="260"/>
      <c r="N74" s="260"/>
    </row>
    <row r="75" spans="1:14" s="65" customFormat="1" ht="191.25" customHeight="1" x14ac:dyDescent="0.25">
      <c r="A75" s="21" t="s">
        <v>143</v>
      </c>
      <c r="B75" s="21" t="s">
        <v>144</v>
      </c>
      <c r="C75" s="21" t="s">
        <v>141</v>
      </c>
      <c r="D75" s="16" t="s">
        <v>142</v>
      </c>
      <c r="E75" s="43"/>
      <c r="F75" s="43" t="s">
        <v>145</v>
      </c>
      <c r="G75" s="260">
        <v>1801.1</v>
      </c>
      <c r="H75" s="260">
        <v>770.7</v>
      </c>
      <c r="I75" s="260">
        <v>552.1</v>
      </c>
      <c r="J75" s="260"/>
      <c r="K75" s="260"/>
      <c r="L75" s="260"/>
      <c r="M75" s="260"/>
      <c r="N75" s="260"/>
    </row>
    <row r="76" spans="1:14" s="65" customFormat="1" ht="74.25" customHeight="1" x14ac:dyDescent="0.25">
      <c r="A76" s="21" t="s">
        <v>406</v>
      </c>
      <c r="B76" s="21" t="s">
        <v>52</v>
      </c>
      <c r="C76" s="21" t="s">
        <v>53</v>
      </c>
      <c r="D76" s="16" t="s">
        <v>54</v>
      </c>
      <c r="E76" s="43"/>
      <c r="F76" s="43" t="s">
        <v>410</v>
      </c>
      <c r="G76" s="260">
        <v>8.5</v>
      </c>
      <c r="H76" s="260">
        <v>5.6</v>
      </c>
      <c r="I76" s="260">
        <v>3.9</v>
      </c>
      <c r="J76" s="260"/>
      <c r="K76" s="260"/>
      <c r="L76" s="260"/>
      <c r="M76" s="260"/>
      <c r="N76" s="260"/>
    </row>
    <row r="77" spans="1:14" s="65" customFormat="1" ht="101.25" customHeight="1" x14ac:dyDescent="0.3">
      <c r="A77" s="234" t="s">
        <v>349</v>
      </c>
      <c r="B77" s="233" t="s">
        <v>348</v>
      </c>
      <c r="C77" s="233" t="s">
        <v>141</v>
      </c>
      <c r="D77" s="235" t="s">
        <v>142</v>
      </c>
      <c r="E77" s="43"/>
      <c r="F77" s="13" t="s">
        <v>347</v>
      </c>
      <c r="G77" s="260">
        <v>25</v>
      </c>
      <c r="H77" s="260">
        <v>25</v>
      </c>
      <c r="I77" s="260">
        <v>25</v>
      </c>
      <c r="J77" s="260"/>
      <c r="K77" s="260"/>
      <c r="L77" s="260"/>
      <c r="M77" s="260"/>
      <c r="N77" s="260"/>
    </row>
    <row r="78" spans="1:14" s="10" customFormat="1" ht="27.75" customHeight="1" x14ac:dyDescent="0.25">
      <c r="A78" s="50"/>
      <c r="B78" s="34"/>
      <c r="C78" s="34"/>
      <c r="D78" s="197" t="s">
        <v>50</v>
      </c>
      <c r="E78" s="201"/>
      <c r="F78" s="202"/>
      <c r="G78" s="262">
        <f>G40+G49+G54+G55+G61+G77+G76</f>
        <v>6516.4</v>
      </c>
      <c r="H78" s="262">
        <f>H40+H49+H54+H55+H61+H77+H76</f>
        <v>2595.6</v>
      </c>
      <c r="I78" s="262">
        <f>I40+I49+I54+I55+I61+I77+I76</f>
        <v>1749.248</v>
      </c>
      <c r="J78" s="262">
        <f t="shared" ref="J78:N78" si="7">J40+J49+J54+J55+J61+J77</f>
        <v>124.13161040276805</v>
      </c>
      <c r="K78" s="262">
        <f t="shared" si="7"/>
        <v>500</v>
      </c>
      <c r="L78" s="262">
        <f t="shared" si="7"/>
        <v>0</v>
      </c>
      <c r="M78" s="262">
        <f t="shared" si="7"/>
        <v>0</v>
      </c>
      <c r="N78" s="262">
        <f t="shared" si="7"/>
        <v>0</v>
      </c>
    </row>
    <row r="79" spans="1:14" s="10" customFormat="1" ht="43.5" customHeight="1" x14ac:dyDescent="0.25">
      <c r="A79" s="180">
        <v>2000000</v>
      </c>
      <c r="B79" s="167"/>
      <c r="C79" s="167"/>
      <c r="D79" s="181" t="s">
        <v>146</v>
      </c>
      <c r="E79" s="182"/>
      <c r="F79" s="165"/>
      <c r="G79" s="265"/>
      <c r="H79" s="265"/>
      <c r="I79" s="265"/>
      <c r="J79" s="265"/>
      <c r="K79" s="265"/>
      <c r="L79" s="265"/>
      <c r="M79" s="265"/>
      <c r="N79" s="265"/>
    </row>
    <row r="80" spans="1:14" s="71" customFormat="1" ht="43.5" customHeight="1" x14ac:dyDescent="0.25">
      <c r="A80" s="180">
        <v>2010000</v>
      </c>
      <c r="B80" s="167"/>
      <c r="C80" s="167"/>
      <c r="D80" s="183" t="s">
        <v>146</v>
      </c>
      <c r="E80" s="182"/>
      <c r="F80" s="165"/>
      <c r="G80" s="265"/>
      <c r="H80" s="265"/>
      <c r="I80" s="265"/>
      <c r="J80" s="265"/>
      <c r="K80" s="265"/>
      <c r="L80" s="265"/>
      <c r="M80" s="265"/>
      <c r="N80" s="265"/>
    </row>
    <row r="81" spans="1:14" s="71" customFormat="1" ht="43.5" customHeight="1" x14ac:dyDescent="0.25">
      <c r="A81" s="11" t="s">
        <v>147</v>
      </c>
      <c r="B81" s="11" t="s">
        <v>148</v>
      </c>
      <c r="C81" s="34"/>
      <c r="D81" s="156" t="s">
        <v>149</v>
      </c>
      <c r="E81" s="69"/>
      <c r="F81" s="9"/>
      <c r="G81" s="261">
        <f>G82</f>
        <v>5</v>
      </c>
      <c r="H81" s="261">
        <f>H82</f>
        <v>1</v>
      </c>
      <c r="I81" s="261">
        <f>I82</f>
        <v>0</v>
      </c>
      <c r="J81" s="261"/>
      <c r="K81" s="261">
        <f>K82</f>
        <v>0</v>
      </c>
      <c r="L81" s="261"/>
      <c r="M81" s="261"/>
      <c r="N81" s="261"/>
    </row>
    <row r="82" spans="1:14" s="10" customFormat="1" ht="66" customHeight="1" x14ac:dyDescent="0.25">
      <c r="A82" s="42">
        <v>2013112</v>
      </c>
      <c r="B82" s="21" t="s">
        <v>150</v>
      </c>
      <c r="C82" s="49" t="s">
        <v>53</v>
      </c>
      <c r="D82" s="72" t="s">
        <v>151</v>
      </c>
      <c r="E82" s="69"/>
      <c r="F82" s="62" t="s">
        <v>282</v>
      </c>
      <c r="G82" s="261">
        <v>5</v>
      </c>
      <c r="H82" s="261">
        <v>1</v>
      </c>
      <c r="I82" s="261"/>
      <c r="J82" s="261"/>
      <c r="K82" s="261"/>
      <c r="L82" s="261"/>
      <c r="M82" s="261"/>
      <c r="N82" s="261"/>
    </row>
    <row r="83" spans="1:14" s="73" customFormat="1" ht="35.25" customHeight="1" x14ac:dyDescent="0.25">
      <c r="A83" s="48"/>
      <c r="B83" s="49"/>
      <c r="C83" s="49"/>
      <c r="D83" s="197" t="s">
        <v>50</v>
      </c>
      <c r="E83" s="197"/>
      <c r="F83" s="198"/>
      <c r="G83" s="262">
        <f>G81</f>
        <v>5</v>
      </c>
      <c r="H83" s="262">
        <f>H81</f>
        <v>1</v>
      </c>
      <c r="I83" s="262">
        <f>I81</f>
        <v>0</v>
      </c>
      <c r="J83" s="262">
        <f>I83/G83*100</f>
        <v>0</v>
      </c>
      <c r="K83" s="262">
        <f>K81</f>
        <v>0</v>
      </c>
      <c r="L83" s="262"/>
      <c r="M83" s="262"/>
      <c r="N83" s="262"/>
    </row>
    <row r="84" spans="1:14" s="65" customFormat="1" ht="58.5" customHeight="1" x14ac:dyDescent="0.25">
      <c r="A84" s="169">
        <v>2400000</v>
      </c>
      <c r="B84" s="176"/>
      <c r="C84" s="176"/>
      <c r="D84" s="171" t="s">
        <v>152</v>
      </c>
      <c r="E84" s="184"/>
      <c r="F84" s="173"/>
      <c r="G84" s="265"/>
      <c r="H84" s="265"/>
      <c r="I84" s="265"/>
      <c r="J84" s="265"/>
      <c r="K84" s="265"/>
      <c r="L84" s="265"/>
      <c r="M84" s="265"/>
      <c r="N84" s="265"/>
    </row>
    <row r="85" spans="1:14" s="65" customFormat="1" ht="60.75" customHeight="1" x14ac:dyDescent="0.25">
      <c r="A85" s="169">
        <v>2410000</v>
      </c>
      <c r="B85" s="176"/>
      <c r="C85" s="176"/>
      <c r="D85" s="174" t="s">
        <v>152</v>
      </c>
      <c r="E85" s="184"/>
      <c r="F85" s="173"/>
      <c r="G85" s="265"/>
      <c r="H85" s="265"/>
      <c r="I85" s="265"/>
      <c r="J85" s="265"/>
      <c r="K85" s="265"/>
      <c r="L85" s="265"/>
      <c r="M85" s="265"/>
      <c r="N85" s="265"/>
    </row>
    <row r="86" spans="1:14" s="74" customFormat="1" ht="50.25" customHeight="1" x14ac:dyDescent="0.25">
      <c r="A86" s="42">
        <v>2413140</v>
      </c>
      <c r="B86" s="21" t="s">
        <v>153</v>
      </c>
      <c r="C86" s="21" t="s">
        <v>53</v>
      </c>
      <c r="D86" s="158" t="s">
        <v>251</v>
      </c>
      <c r="E86" s="28"/>
      <c r="F86" s="210" t="s">
        <v>154</v>
      </c>
      <c r="G86" s="270">
        <f>G87</f>
        <v>85</v>
      </c>
      <c r="H86" s="270">
        <f>H87</f>
        <v>17</v>
      </c>
      <c r="I86" s="270">
        <f>I87</f>
        <v>13.6</v>
      </c>
      <c r="J86" s="270">
        <f>I86/G86*100</f>
        <v>16</v>
      </c>
      <c r="K86" s="270">
        <f>SUM(K88:K90)</f>
        <v>0</v>
      </c>
      <c r="L86" s="270"/>
      <c r="M86" s="270"/>
      <c r="N86" s="270"/>
    </row>
    <row r="87" spans="1:14" s="74" customFormat="1" ht="85.5" customHeight="1" x14ac:dyDescent="0.3">
      <c r="A87" s="159" t="s">
        <v>249</v>
      </c>
      <c r="B87" s="159" t="s">
        <v>250</v>
      </c>
      <c r="C87" s="159" t="s">
        <v>53</v>
      </c>
      <c r="D87" s="158" t="s">
        <v>252</v>
      </c>
      <c r="E87" s="28"/>
      <c r="F87" s="43"/>
      <c r="G87" s="261">
        <f>SUM(G88:G90)</f>
        <v>85</v>
      </c>
      <c r="H87" s="261">
        <f>SUM(H88:H90)</f>
        <v>17</v>
      </c>
      <c r="I87" s="261">
        <f>SUM(I88:I90)</f>
        <v>13.6</v>
      </c>
      <c r="J87" s="261">
        <f>I87/G87*100</f>
        <v>16</v>
      </c>
      <c r="K87" s="261">
        <f t="shared" ref="K87" si="8">SUM(K88:K90)</f>
        <v>0</v>
      </c>
      <c r="L87" s="261"/>
      <c r="M87" s="261"/>
      <c r="N87" s="261"/>
    </row>
    <row r="88" spans="1:14" s="10" customFormat="1" ht="69" customHeight="1" x14ac:dyDescent="0.25">
      <c r="A88" s="24"/>
      <c r="B88" s="24"/>
      <c r="C88" s="24"/>
      <c r="D88" s="160" t="s">
        <v>178</v>
      </c>
      <c r="E88" s="57"/>
      <c r="F88" s="43" t="s">
        <v>155</v>
      </c>
      <c r="G88" s="260">
        <v>50</v>
      </c>
      <c r="H88" s="260">
        <v>17</v>
      </c>
      <c r="I88" s="260">
        <v>13.6</v>
      </c>
      <c r="J88" s="260"/>
      <c r="K88" s="261"/>
      <c r="L88" s="261"/>
      <c r="M88" s="261"/>
      <c r="N88" s="261"/>
    </row>
    <row r="89" spans="1:14" s="65" customFormat="1" ht="41.25" customHeight="1" x14ac:dyDescent="0.25">
      <c r="A89" s="21"/>
      <c r="B89" s="21"/>
      <c r="C89" s="21"/>
      <c r="D89" s="28"/>
      <c r="E89" s="28"/>
      <c r="F89" s="43" t="s">
        <v>156</v>
      </c>
      <c r="G89" s="260">
        <v>25</v>
      </c>
      <c r="H89" s="260"/>
      <c r="I89" s="260"/>
      <c r="J89" s="260"/>
      <c r="K89" s="261"/>
      <c r="L89" s="261"/>
      <c r="M89" s="261"/>
      <c r="N89" s="261"/>
    </row>
    <row r="90" spans="1:14" s="65" customFormat="1" ht="24.75" customHeight="1" x14ac:dyDescent="0.25">
      <c r="A90" s="21"/>
      <c r="B90" s="21"/>
      <c r="C90" s="21"/>
      <c r="D90" s="28"/>
      <c r="E90" s="28"/>
      <c r="F90" s="60" t="s">
        <v>157</v>
      </c>
      <c r="G90" s="260">
        <v>10</v>
      </c>
      <c r="H90" s="260"/>
      <c r="I90" s="260"/>
      <c r="J90" s="260"/>
      <c r="K90" s="260"/>
      <c r="L90" s="260"/>
      <c r="M90" s="260"/>
      <c r="N90" s="260"/>
    </row>
    <row r="91" spans="1:14" s="65" customFormat="1" ht="72.75" customHeight="1" x14ac:dyDescent="0.25">
      <c r="A91" s="21"/>
      <c r="B91" s="21"/>
      <c r="C91" s="21"/>
      <c r="D91" s="47"/>
      <c r="E91" s="47"/>
      <c r="F91" s="210" t="s">
        <v>158</v>
      </c>
      <c r="G91" s="270">
        <f>G92+G93+G96</f>
        <v>1116.9000000000001</v>
      </c>
      <c r="H91" s="270">
        <f>H92+H93+H96</f>
        <v>644.4</v>
      </c>
      <c r="I91" s="270">
        <f>I92+I93+I96</f>
        <v>495.40000000000003</v>
      </c>
      <c r="J91" s="270">
        <f>I91/G91*100</f>
        <v>44.354910914137349</v>
      </c>
      <c r="K91" s="270">
        <f>K92+K93+K96</f>
        <v>264</v>
      </c>
      <c r="L91" s="270">
        <f>L92+L93+L96</f>
        <v>264</v>
      </c>
      <c r="M91" s="270">
        <f>M92+M93+M96</f>
        <v>191.9</v>
      </c>
      <c r="N91" s="270">
        <f>M91/K91*100</f>
        <v>72.689393939393938</v>
      </c>
    </row>
    <row r="92" spans="1:14" s="65" customFormat="1" ht="117.75" customHeight="1" x14ac:dyDescent="0.25">
      <c r="A92" s="49" t="s">
        <v>159</v>
      </c>
      <c r="B92" s="21" t="s">
        <v>160</v>
      </c>
      <c r="C92" s="21" t="s">
        <v>161</v>
      </c>
      <c r="D92" s="28" t="s">
        <v>162</v>
      </c>
      <c r="E92" s="47"/>
      <c r="F92" s="43" t="s">
        <v>163</v>
      </c>
      <c r="G92" s="260">
        <v>617</v>
      </c>
      <c r="H92" s="260">
        <v>362.5</v>
      </c>
      <c r="I92" s="260">
        <v>338.5</v>
      </c>
      <c r="J92" s="260">
        <f>I92/G92*100</f>
        <v>54.862236628849267</v>
      </c>
      <c r="K92" s="261">
        <v>264</v>
      </c>
      <c r="L92" s="261">
        <v>264</v>
      </c>
      <c r="M92" s="261">
        <v>191.9</v>
      </c>
      <c r="N92" s="261"/>
    </row>
    <row r="93" spans="1:14" s="65" customFormat="1" ht="33.75" customHeight="1" x14ac:dyDescent="0.25">
      <c r="A93" s="11" t="s">
        <v>164</v>
      </c>
      <c r="B93" s="11" t="s">
        <v>165</v>
      </c>
      <c r="C93" s="21"/>
      <c r="D93" s="67" t="s">
        <v>166</v>
      </c>
      <c r="E93" s="212"/>
      <c r="F93" s="210"/>
      <c r="G93" s="271">
        <f>G94+G95</f>
        <v>300.2</v>
      </c>
      <c r="H93" s="271">
        <f>H94+H95</f>
        <v>147.30000000000001</v>
      </c>
      <c r="I93" s="271">
        <f>I94+I95</f>
        <v>110.1</v>
      </c>
      <c r="J93" s="271"/>
      <c r="K93" s="271">
        <f>K94+K95</f>
        <v>0</v>
      </c>
      <c r="L93" s="271"/>
      <c r="M93" s="271"/>
      <c r="N93" s="271"/>
    </row>
    <row r="94" spans="1:14" s="10" customFormat="1" ht="54.75" customHeight="1" x14ac:dyDescent="0.25">
      <c r="A94" s="42">
        <v>2415011</v>
      </c>
      <c r="B94" s="42">
        <v>5011</v>
      </c>
      <c r="C94" s="21" t="s">
        <v>167</v>
      </c>
      <c r="D94" s="67" t="s">
        <v>168</v>
      </c>
      <c r="E94" s="66"/>
      <c r="F94" s="43" t="s">
        <v>169</v>
      </c>
      <c r="G94" s="260">
        <v>173.2</v>
      </c>
      <c r="H94" s="260">
        <v>71.599999999999994</v>
      </c>
      <c r="I94" s="260">
        <v>50.6</v>
      </c>
      <c r="J94" s="260"/>
      <c r="K94" s="272"/>
      <c r="L94" s="272"/>
      <c r="M94" s="272"/>
      <c r="N94" s="272"/>
    </row>
    <row r="95" spans="1:14" s="65" customFormat="1" ht="56.25" customHeight="1" x14ac:dyDescent="0.25">
      <c r="A95" s="42">
        <v>2415012</v>
      </c>
      <c r="B95" s="21" t="s">
        <v>170</v>
      </c>
      <c r="C95" s="21" t="s">
        <v>167</v>
      </c>
      <c r="D95" s="43" t="s">
        <v>171</v>
      </c>
      <c r="E95" s="43" t="s">
        <v>171</v>
      </c>
      <c r="F95" s="43" t="s">
        <v>172</v>
      </c>
      <c r="G95" s="260">
        <v>127</v>
      </c>
      <c r="H95" s="260">
        <v>75.7</v>
      </c>
      <c r="I95" s="260">
        <v>59.5</v>
      </c>
      <c r="J95" s="260"/>
      <c r="K95" s="261"/>
      <c r="L95" s="261"/>
      <c r="M95" s="261"/>
      <c r="N95" s="261"/>
    </row>
    <row r="96" spans="1:14" s="74" customFormat="1" ht="44.25" customHeight="1" x14ac:dyDescent="0.25">
      <c r="A96" s="42">
        <v>2412060</v>
      </c>
      <c r="B96" s="21" t="s">
        <v>173</v>
      </c>
      <c r="C96" s="21" t="s">
        <v>167</v>
      </c>
      <c r="D96" s="67" t="s">
        <v>253</v>
      </c>
      <c r="E96" s="28"/>
      <c r="F96" s="210"/>
      <c r="G96" s="271">
        <f>G97</f>
        <v>199.7</v>
      </c>
      <c r="H96" s="271">
        <f>H97</f>
        <v>134.6</v>
      </c>
      <c r="I96" s="271">
        <f>I97</f>
        <v>46.8</v>
      </c>
      <c r="J96" s="271"/>
      <c r="K96" s="271"/>
      <c r="L96" s="271"/>
      <c r="M96" s="271"/>
      <c r="N96" s="271"/>
    </row>
    <row r="97" spans="1:14" s="74" customFormat="1" ht="166.5" customHeight="1" x14ac:dyDescent="0.25">
      <c r="A97" s="11" t="s">
        <v>255</v>
      </c>
      <c r="B97" s="11" t="s">
        <v>256</v>
      </c>
      <c r="C97" s="11" t="s">
        <v>167</v>
      </c>
      <c r="D97" s="67" t="s">
        <v>254</v>
      </c>
      <c r="E97" s="28"/>
      <c r="F97" s="43" t="s">
        <v>174</v>
      </c>
      <c r="G97" s="260">
        <v>199.7</v>
      </c>
      <c r="H97" s="260">
        <v>134.6</v>
      </c>
      <c r="I97" s="260">
        <v>46.8</v>
      </c>
      <c r="J97" s="260"/>
      <c r="K97" s="260"/>
      <c r="L97" s="260"/>
      <c r="M97" s="260"/>
      <c r="N97" s="260"/>
    </row>
    <row r="98" spans="1:14" s="74" customFormat="1" ht="42.75" customHeight="1" x14ac:dyDescent="0.25">
      <c r="A98" s="11"/>
      <c r="B98" s="11"/>
      <c r="C98" s="11"/>
      <c r="D98" s="67"/>
      <c r="E98" s="28"/>
      <c r="F98" s="13" t="s">
        <v>413</v>
      </c>
      <c r="G98" s="260">
        <f>G100+G99</f>
        <v>115</v>
      </c>
      <c r="H98" s="260">
        <f>H100+H99</f>
        <v>115</v>
      </c>
      <c r="I98" s="260">
        <f>I100+I99</f>
        <v>78.8</v>
      </c>
      <c r="J98" s="260">
        <f>I98/G98*100</f>
        <v>68.521739130434781</v>
      </c>
      <c r="K98" s="260"/>
      <c r="L98" s="260"/>
      <c r="M98" s="260"/>
      <c r="N98" s="260"/>
    </row>
    <row r="99" spans="1:14" s="228" customFormat="1" ht="78" customHeight="1" x14ac:dyDescent="0.25">
      <c r="A99" s="21" t="s">
        <v>398</v>
      </c>
      <c r="B99" s="21"/>
      <c r="C99" s="21" t="s">
        <v>161</v>
      </c>
      <c r="D99" s="28" t="s">
        <v>399</v>
      </c>
      <c r="E99" s="47"/>
      <c r="F99" s="43" t="s">
        <v>400</v>
      </c>
      <c r="G99" s="260">
        <v>100</v>
      </c>
      <c r="H99" s="260">
        <v>100</v>
      </c>
      <c r="I99" s="260">
        <v>78.8</v>
      </c>
      <c r="J99" s="260"/>
      <c r="K99" s="261"/>
      <c r="L99" s="261"/>
      <c r="M99" s="261"/>
      <c r="N99" s="261"/>
    </row>
    <row r="100" spans="1:14" s="74" customFormat="1" ht="42.75" customHeight="1" x14ac:dyDescent="0.25">
      <c r="A100" s="289" t="s">
        <v>414</v>
      </c>
      <c r="B100" s="289" t="s">
        <v>415</v>
      </c>
      <c r="C100" s="289" t="s">
        <v>416</v>
      </c>
      <c r="D100" s="293" t="s">
        <v>417</v>
      </c>
      <c r="E100" s="290"/>
      <c r="F100" s="291" t="s">
        <v>418</v>
      </c>
      <c r="G100" s="292">
        <v>15</v>
      </c>
      <c r="H100" s="292">
        <v>15</v>
      </c>
      <c r="I100" s="292">
        <v>0</v>
      </c>
      <c r="J100" s="260"/>
      <c r="K100" s="260"/>
      <c r="L100" s="260"/>
      <c r="M100" s="260"/>
      <c r="N100" s="260"/>
    </row>
    <row r="101" spans="1:14" s="10" customFormat="1" ht="23.25" customHeight="1" x14ac:dyDescent="0.25">
      <c r="A101" s="24"/>
      <c r="B101" s="77"/>
      <c r="C101" s="77"/>
      <c r="D101" s="197" t="s">
        <v>50</v>
      </c>
      <c r="E101" s="203"/>
      <c r="F101" s="196"/>
      <c r="G101" s="262">
        <f>G86+G91+G98</f>
        <v>1316.9</v>
      </c>
      <c r="H101" s="262">
        <f>H86+H91+H98</f>
        <v>776.4</v>
      </c>
      <c r="I101" s="262">
        <f>I86+I91+I98</f>
        <v>587.80000000000007</v>
      </c>
      <c r="J101" s="262">
        <f>I101/G101*100</f>
        <v>44.63512795200851</v>
      </c>
      <c r="K101" s="262">
        <f>K86+K91</f>
        <v>264</v>
      </c>
      <c r="L101" s="262">
        <f>L86+L91</f>
        <v>264</v>
      </c>
      <c r="M101" s="262">
        <f>M86+M91</f>
        <v>191.9</v>
      </c>
      <c r="N101" s="262"/>
    </row>
    <row r="102" spans="1:14" s="65" customFormat="1" ht="98.25" customHeight="1" x14ac:dyDescent="0.25">
      <c r="A102" s="169">
        <v>4000000</v>
      </c>
      <c r="B102" s="185"/>
      <c r="C102" s="185"/>
      <c r="D102" s="186" t="s">
        <v>408</v>
      </c>
      <c r="E102" s="172"/>
      <c r="F102" s="173"/>
      <c r="G102" s="265"/>
      <c r="H102" s="265"/>
      <c r="I102" s="265"/>
      <c r="J102" s="265"/>
      <c r="K102" s="265"/>
      <c r="L102" s="265"/>
      <c r="M102" s="265"/>
      <c r="N102" s="265"/>
    </row>
    <row r="103" spans="1:14" s="74" customFormat="1" ht="76.5" customHeight="1" x14ac:dyDescent="0.25">
      <c r="A103" s="187">
        <v>4010000</v>
      </c>
      <c r="B103" s="185"/>
      <c r="C103" s="185"/>
      <c r="D103" s="188" t="s">
        <v>175</v>
      </c>
      <c r="E103" s="172"/>
      <c r="F103" s="189"/>
      <c r="G103" s="267"/>
      <c r="H103" s="267"/>
      <c r="I103" s="267"/>
      <c r="J103" s="267"/>
      <c r="K103" s="267"/>
      <c r="L103" s="267"/>
      <c r="M103" s="267"/>
      <c r="N103" s="267"/>
    </row>
    <row r="104" spans="1:14" s="74" customFormat="1" ht="53.25" customHeight="1" x14ac:dyDescent="0.25">
      <c r="A104" s="42"/>
      <c r="B104" s="42"/>
      <c r="C104" s="42"/>
      <c r="D104" s="43"/>
      <c r="E104" s="41"/>
      <c r="F104" s="43" t="s">
        <v>176</v>
      </c>
      <c r="G104" s="261">
        <f>G105+G114+G116+G119+G135+G142</f>
        <v>20090</v>
      </c>
      <c r="H104" s="261">
        <f>H105+H114+H116+H119+H135+H142</f>
        <v>10183.6</v>
      </c>
      <c r="I104" s="261">
        <f>I105+I114+I116+I119+I135+I142</f>
        <v>8032.3610000000008</v>
      </c>
      <c r="J104" s="261">
        <f>I104/G104*100</f>
        <v>39.981886510701848</v>
      </c>
      <c r="K104" s="261">
        <f>K105+K114+K116+K119+K135+K142</f>
        <v>8629.9920000000002</v>
      </c>
      <c r="L104" s="261">
        <f>L105+L114+L116+L119+L135+L142</f>
        <v>3926.9919999999997</v>
      </c>
      <c r="M104" s="261">
        <f>M105+M114+M116+M119+M135+M142</f>
        <v>2059.5819999999999</v>
      </c>
      <c r="N104" s="261">
        <f>M104/K104*100</f>
        <v>23.865398716476214</v>
      </c>
    </row>
    <row r="105" spans="1:14" s="74" customFormat="1" ht="81" customHeight="1" x14ac:dyDescent="0.25">
      <c r="A105" s="42">
        <v>4016010</v>
      </c>
      <c r="B105" s="42">
        <v>6010</v>
      </c>
      <c r="C105" s="42">
        <v>610</v>
      </c>
      <c r="D105" s="43" t="s">
        <v>177</v>
      </c>
      <c r="E105" s="41"/>
      <c r="F105" s="43"/>
      <c r="G105" s="261">
        <f>SUM(G106:G118)</f>
        <v>3684.7</v>
      </c>
      <c r="H105" s="261">
        <f t="shared" ref="H105:J105" si="9">SUM(H106:H118)</f>
        <v>2216.6999999999998</v>
      </c>
      <c r="I105" s="261">
        <f t="shared" si="9"/>
        <v>2026.8259999999998</v>
      </c>
      <c r="J105" s="261">
        <f t="shared" si="9"/>
        <v>0</v>
      </c>
      <c r="K105" s="260"/>
      <c r="L105" s="260"/>
      <c r="M105" s="260"/>
      <c r="N105" s="260"/>
    </row>
    <row r="106" spans="1:14" s="74" customFormat="1" ht="108.75" customHeight="1" x14ac:dyDescent="0.25">
      <c r="A106" s="42"/>
      <c r="B106" s="42"/>
      <c r="C106" s="42"/>
      <c r="D106" s="80" t="s">
        <v>178</v>
      </c>
      <c r="E106" s="41"/>
      <c r="F106" s="43" t="s">
        <v>179</v>
      </c>
      <c r="G106" s="260">
        <v>507</v>
      </c>
      <c r="H106" s="260">
        <v>503</v>
      </c>
      <c r="I106" s="260">
        <v>480.34100000000001</v>
      </c>
      <c r="J106" s="260"/>
      <c r="K106" s="260"/>
      <c r="L106" s="260"/>
      <c r="M106" s="260"/>
      <c r="N106" s="260"/>
    </row>
    <row r="107" spans="1:14" s="74" customFormat="1" ht="49.5" customHeight="1" x14ac:dyDescent="0.25">
      <c r="A107" s="42"/>
      <c r="B107" s="42"/>
      <c r="C107" s="42"/>
      <c r="D107" s="43"/>
      <c r="E107" s="41"/>
      <c r="F107" s="43" t="s">
        <v>180</v>
      </c>
      <c r="G107" s="260">
        <v>2000</v>
      </c>
      <c r="H107" s="260">
        <v>1176</v>
      </c>
      <c r="I107" s="260">
        <v>1117.2449999999999</v>
      </c>
      <c r="J107" s="260"/>
      <c r="K107" s="260"/>
      <c r="L107" s="260"/>
      <c r="M107" s="260"/>
      <c r="N107" s="260"/>
    </row>
    <row r="108" spans="1:14" s="74" customFormat="1" ht="41.25" customHeight="1" x14ac:dyDescent="0.25">
      <c r="A108" s="42"/>
      <c r="B108" s="42"/>
      <c r="C108" s="42"/>
      <c r="D108" s="43"/>
      <c r="E108" s="41"/>
      <c r="F108" s="43" t="s">
        <v>263</v>
      </c>
      <c r="G108" s="260">
        <f>214-17</f>
        <v>197</v>
      </c>
      <c r="H108" s="260">
        <v>197</v>
      </c>
      <c r="I108" s="260">
        <v>196.952</v>
      </c>
      <c r="J108" s="260"/>
      <c r="K108" s="260"/>
      <c r="L108" s="260"/>
      <c r="M108" s="260"/>
      <c r="N108" s="260"/>
    </row>
    <row r="109" spans="1:14" s="74" customFormat="1" ht="49.5" customHeight="1" x14ac:dyDescent="0.25">
      <c r="A109" s="42"/>
      <c r="B109" s="42"/>
      <c r="C109" s="42"/>
      <c r="D109" s="43"/>
      <c r="E109" s="41"/>
      <c r="F109" s="43" t="s">
        <v>310</v>
      </c>
      <c r="G109" s="260">
        <v>67.7</v>
      </c>
      <c r="H109" s="260">
        <v>67.7</v>
      </c>
      <c r="I109" s="260">
        <v>53.097999999999999</v>
      </c>
      <c r="J109" s="260"/>
      <c r="K109" s="260"/>
      <c r="L109" s="260"/>
      <c r="M109" s="260"/>
      <c r="N109" s="260"/>
    </row>
    <row r="110" spans="1:14" s="74" customFormat="1" ht="49.5" customHeight="1" x14ac:dyDescent="0.25">
      <c r="A110" s="42"/>
      <c r="B110" s="42"/>
      <c r="C110" s="42"/>
      <c r="D110" s="43"/>
      <c r="E110" s="41"/>
      <c r="F110" s="43" t="s">
        <v>311</v>
      </c>
      <c r="G110" s="260">
        <v>145</v>
      </c>
      <c r="H110" s="260">
        <v>145</v>
      </c>
      <c r="I110" s="260">
        <v>139.44</v>
      </c>
      <c r="J110" s="260"/>
      <c r="K110" s="260"/>
      <c r="L110" s="260"/>
      <c r="M110" s="260"/>
      <c r="N110" s="260"/>
    </row>
    <row r="111" spans="1:14" s="74" customFormat="1" ht="49.5" hidden="1" customHeight="1" x14ac:dyDescent="0.25">
      <c r="A111" s="42"/>
      <c r="B111" s="42"/>
      <c r="C111" s="42"/>
      <c r="D111" s="43"/>
      <c r="E111" s="41"/>
      <c r="F111" s="43" t="s">
        <v>312</v>
      </c>
      <c r="G111" s="260">
        <f>62-62</f>
        <v>0</v>
      </c>
      <c r="H111" s="260">
        <v>0</v>
      </c>
      <c r="I111" s="260">
        <v>0</v>
      </c>
      <c r="J111" s="260"/>
      <c r="K111" s="260"/>
      <c r="L111" s="260"/>
      <c r="M111" s="260"/>
      <c r="N111" s="260"/>
    </row>
    <row r="112" spans="1:14" s="74" customFormat="1" ht="68.25" customHeight="1" x14ac:dyDescent="0.25">
      <c r="A112" s="42"/>
      <c r="B112" s="42"/>
      <c r="C112" s="42"/>
      <c r="D112" s="43"/>
      <c r="E112" s="41"/>
      <c r="F112" s="43" t="s">
        <v>301</v>
      </c>
      <c r="G112" s="260">
        <v>94</v>
      </c>
      <c r="H112" s="260">
        <v>54</v>
      </c>
      <c r="I112" s="260">
        <v>39.75</v>
      </c>
      <c r="J112" s="260"/>
      <c r="K112" s="260"/>
      <c r="L112" s="260"/>
      <c r="M112" s="260"/>
      <c r="N112" s="260"/>
    </row>
    <row r="113" spans="1:14" s="74" customFormat="1" ht="53.25" customHeight="1" x14ac:dyDescent="0.25">
      <c r="A113" s="42"/>
      <c r="B113" s="42"/>
      <c r="C113" s="42"/>
      <c r="D113" s="43"/>
      <c r="E113" s="41"/>
      <c r="F113" s="43" t="s">
        <v>377</v>
      </c>
      <c r="G113" s="260">
        <v>74</v>
      </c>
      <c r="H113" s="260">
        <v>74</v>
      </c>
      <c r="I113" s="260">
        <v>0</v>
      </c>
      <c r="J113" s="260"/>
      <c r="K113" s="260"/>
      <c r="L113" s="260"/>
      <c r="M113" s="260"/>
      <c r="N113" s="260"/>
    </row>
    <row r="114" spans="1:14" s="74" customFormat="1" ht="36.75" customHeight="1" x14ac:dyDescent="0.25">
      <c r="A114" s="11" t="s">
        <v>181</v>
      </c>
      <c r="B114" s="11" t="s">
        <v>182</v>
      </c>
      <c r="C114" s="42"/>
      <c r="D114" s="43" t="s">
        <v>183</v>
      </c>
      <c r="E114" s="43" t="s">
        <v>183</v>
      </c>
      <c r="F114" s="43"/>
      <c r="G114" s="261">
        <f>G115</f>
        <v>0</v>
      </c>
      <c r="H114" s="261"/>
      <c r="I114" s="261"/>
      <c r="J114" s="261"/>
      <c r="K114" s="261">
        <f>K115</f>
        <v>5331.7</v>
      </c>
      <c r="L114" s="261">
        <f>L115</f>
        <v>2171.6999999999998</v>
      </c>
      <c r="M114" s="261">
        <f>M115</f>
        <v>884.02</v>
      </c>
      <c r="N114" s="261">
        <f>M114/K114*100</f>
        <v>16.580452763658869</v>
      </c>
    </row>
    <row r="115" spans="1:14" s="224" customFormat="1" ht="51.75" customHeight="1" x14ac:dyDescent="0.25">
      <c r="A115" s="42">
        <v>4016021</v>
      </c>
      <c r="B115" s="42">
        <v>6021</v>
      </c>
      <c r="C115" s="42">
        <v>610</v>
      </c>
      <c r="D115" s="43" t="s">
        <v>184</v>
      </c>
      <c r="E115" s="43" t="s">
        <v>184</v>
      </c>
      <c r="F115" s="43" t="s">
        <v>290</v>
      </c>
      <c r="G115" s="260"/>
      <c r="H115" s="260"/>
      <c r="I115" s="260"/>
      <c r="J115" s="260"/>
      <c r="K115" s="260">
        <v>5331.7</v>
      </c>
      <c r="L115" s="260">
        <v>2171.6999999999998</v>
      </c>
      <c r="M115" s="260">
        <v>884.02</v>
      </c>
      <c r="N115" s="260"/>
    </row>
    <row r="116" spans="1:14" s="74" customFormat="1" ht="38.25" customHeight="1" x14ac:dyDescent="0.25">
      <c r="A116" s="11" t="s">
        <v>185</v>
      </c>
      <c r="B116" s="11" t="s">
        <v>186</v>
      </c>
      <c r="C116" s="42"/>
      <c r="D116" s="156" t="s">
        <v>187</v>
      </c>
      <c r="E116" s="41"/>
      <c r="F116" s="43"/>
      <c r="G116" s="261">
        <f>G117</f>
        <v>0</v>
      </c>
      <c r="H116" s="261"/>
      <c r="I116" s="261"/>
      <c r="J116" s="261"/>
      <c r="K116" s="261">
        <f>K117</f>
        <v>633</v>
      </c>
      <c r="L116" s="261">
        <f>L117</f>
        <v>190</v>
      </c>
      <c r="M116" s="261">
        <f>M117</f>
        <v>0</v>
      </c>
      <c r="N116" s="261">
        <f>M116/K116*100</f>
        <v>0</v>
      </c>
    </row>
    <row r="117" spans="1:14" s="74" customFormat="1" ht="66" customHeight="1" x14ac:dyDescent="0.25">
      <c r="A117" s="11" t="s">
        <v>188</v>
      </c>
      <c r="B117" s="11" t="s">
        <v>189</v>
      </c>
      <c r="C117" s="11" t="s">
        <v>190</v>
      </c>
      <c r="D117" s="43" t="s">
        <v>191</v>
      </c>
      <c r="E117" s="41"/>
      <c r="F117" s="43" t="s">
        <v>264</v>
      </c>
      <c r="G117" s="260"/>
      <c r="H117" s="260"/>
      <c r="I117" s="260"/>
      <c r="J117" s="260"/>
      <c r="K117" s="260">
        <v>633</v>
      </c>
      <c r="L117" s="260">
        <v>190</v>
      </c>
      <c r="M117" s="260">
        <v>0</v>
      </c>
      <c r="N117" s="260"/>
    </row>
    <row r="118" spans="1:14" s="74" customFormat="1" ht="66" customHeight="1" x14ac:dyDescent="0.25">
      <c r="A118" s="11"/>
      <c r="B118" s="11"/>
      <c r="C118" s="11"/>
      <c r="D118" s="43"/>
      <c r="E118" s="41"/>
      <c r="F118" s="43" t="s">
        <v>394</v>
      </c>
      <c r="G118" s="260">
        <v>600</v>
      </c>
      <c r="H118" s="260">
        <v>0</v>
      </c>
      <c r="I118" s="260">
        <v>0</v>
      </c>
      <c r="J118" s="260"/>
      <c r="K118" s="260"/>
      <c r="L118" s="260"/>
      <c r="M118" s="260"/>
      <c r="N118" s="260"/>
    </row>
    <row r="119" spans="1:14" s="74" customFormat="1" ht="23.25" customHeight="1" x14ac:dyDescent="0.25">
      <c r="A119" s="42">
        <v>4016060</v>
      </c>
      <c r="B119" s="42">
        <v>6060</v>
      </c>
      <c r="C119" s="42">
        <v>620</v>
      </c>
      <c r="D119" s="43" t="s">
        <v>192</v>
      </c>
      <c r="E119" s="41"/>
      <c r="F119" s="43"/>
      <c r="G119" s="282">
        <f>SUM(G120:G128)</f>
        <v>16202.599999999999</v>
      </c>
      <c r="H119" s="257">
        <f>SUM(H120:H128)</f>
        <v>7919.8</v>
      </c>
      <c r="I119" s="257">
        <f>SUM(I120:I128)</f>
        <v>5976.3550000000005</v>
      </c>
      <c r="J119" s="261">
        <f>I119/G119*100</f>
        <v>36.885160406354544</v>
      </c>
      <c r="K119" s="261">
        <f>SUM(K120:K134)</f>
        <v>2346</v>
      </c>
      <c r="L119" s="261">
        <f>SUM(L120:L134)</f>
        <v>1396</v>
      </c>
      <c r="M119" s="261">
        <f>SUM(M120:M134)</f>
        <v>1006.27</v>
      </c>
      <c r="N119" s="261">
        <f>SUM(N120:N134)</f>
        <v>3.1202893955689697</v>
      </c>
    </row>
    <row r="120" spans="1:14" s="74" customFormat="1" ht="51" customHeight="1" x14ac:dyDescent="0.25">
      <c r="A120" s="42"/>
      <c r="B120" s="42"/>
      <c r="C120" s="42"/>
      <c r="D120" s="80" t="s">
        <v>178</v>
      </c>
      <c r="E120" s="41"/>
      <c r="F120" s="43" t="s">
        <v>275</v>
      </c>
      <c r="G120" s="283">
        <v>10383.9</v>
      </c>
      <c r="H120" s="260">
        <v>4487.3999999999996</v>
      </c>
      <c r="I120" s="260">
        <v>3753</v>
      </c>
      <c r="J120" s="260"/>
      <c r="K120" s="260"/>
      <c r="L120" s="260"/>
      <c r="M120" s="260"/>
      <c r="N120" s="260"/>
    </row>
    <row r="121" spans="1:14" s="74" customFormat="1" ht="54.75" customHeight="1" x14ac:dyDescent="0.25">
      <c r="A121" s="42"/>
      <c r="B121" s="42"/>
      <c r="C121" s="42"/>
      <c r="D121" s="80"/>
      <c r="E121" s="41"/>
      <c r="F121" s="43" t="s">
        <v>302</v>
      </c>
      <c r="G121" s="260">
        <v>2613.4</v>
      </c>
      <c r="H121" s="260">
        <v>2138</v>
      </c>
      <c r="I121" s="260">
        <v>1355.8</v>
      </c>
      <c r="J121" s="260"/>
      <c r="K121" s="260"/>
      <c r="L121" s="260"/>
      <c r="M121" s="260"/>
      <c r="N121" s="260"/>
    </row>
    <row r="122" spans="1:14" s="74" customFormat="1" ht="56.25" customHeight="1" x14ac:dyDescent="0.25">
      <c r="A122" s="42"/>
      <c r="B122" s="42"/>
      <c r="C122" s="42"/>
      <c r="D122" s="80"/>
      <c r="E122" s="41"/>
      <c r="F122" s="43" t="s">
        <v>266</v>
      </c>
      <c r="G122" s="260">
        <v>2800</v>
      </c>
      <c r="H122" s="260">
        <f>910.5+228.6</f>
        <v>1139.0999999999999</v>
      </c>
      <c r="I122" s="260">
        <v>867.55499999999995</v>
      </c>
      <c r="J122" s="260"/>
      <c r="K122" s="260"/>
      <c r="L122" s="260"/>
      <c r="M122" s="260"/>
      <c r="N122" s="260"/>
    </row>
    <row r="123" spans="1:14" s="74" customFormat="1" ht="94.5" customHeight="1" x14ac:dyDescent="0.25">
      <c r="A123" s="42"/>
      <c r="B123" s="42"/>
      <c r="C123" s="42"/>
      <c r="D123" s="43"/>
      <c r="E123" s="41"/>
      <c r="F123" s="43" t="s">
        <v>257</v>
      </c>
      <c r="G123" s="260">
        <v>100</v>
      </c>
      <c r="H123" s="260">
        <v>0</v>
      </c>
      <c r="I123" s="260">
        <v>0</v>
      </c>
      <c r="J123" s="260"/>
      <c r="K123" s="260"/>
      <c r="L123" s="260"/>
      <c r="M123" s="260"/>
      <c r="N123" s="260"/>
    </row>
    <row r="124" spans="1:14" s="74" customFormat="1" ht="54" customHeight="1" x14ac:dyDescent="0.25">
      <c r="A124" s="42"/>
      <c r="B124" s="42"/>
      <c r="C124" s="42"/>
      <c r="D124" s="43"/>
      <c r="E124" s="41"/>
      <c r="F124" s="43" t="s">
        <v>391</v>
      </c>
      <c r="G124" s="260">
        <f>200+100</f>
        <v>300</v>
      </c>
      <c r="H124" s="260">
        <f>25+125</f>
        <v>150</v>
      </c>
      <c r="I124" s="260">
        <v>0</v>
      </c>
      <c r="J124" s="260"/>
      <c r="K124" s="260"/>
      <c r="L124" s="260"/>
      <c r="M124" s="260"/>
      <c r="N124" s="260"/>
    </row>
    <row r="125" spans="1:14" s="74" customFormat="1" ht="0.75" customHeight="1" x14ac:dyDescent="0.25">
      <c r="A125" s="42"/>
      <c r="B125" s="42"/>
      <c r="C125" s="42"/>
      <c r="D125" s="43"/>
      <c r="E125" s="41"/>
      <c r="F125" s="43" t="s">
        <v>332</v>
      </c>
      <c r="G125" s="260">
        <f>100-100</f>
        <v>0</v>
      </c>
      <c r="H125" s="260">
        <v>0</v>
      </c>
      <c r="I125" s="260">
        <v>0</v>
      </c>
      <c r="J125" s="260"/>
      <c r="K125" s="260"/>
      <c r="L125" s="260"/>
      <c r="M125" s="260"/>
      <c r="N125" s="260"/>
    </row>
    <row r="126" spans="1:14" s="74" customFormat="1" ht="58.5" customHeight="1" x14ac:dyDescent="0.25">
      <c r="A126" s="42"/>
      <c r="B126" s="42"/>
      <c r="C126" s="42"/>
      <c r="D126" s="43"/>
      <c r="E126" s="41"/>
      <c r="F126" s="43" t="s">
        <v>333</v>
      </c>
      <c r="G126" s="260">
        <v>5.3</v>
      </c>
      <c r="H126" s="260">
        <v>5.3</v>
      </c>
      <c r="I126" s="260">
        <v>0</v>
      </c>
      <c r="J126" s="260"/>
      <c r="K126" s="260"/>
      <c r="L126" s="260"/>
      <c r="M126" s="260"/>
      <c r="N126" s="260"/>
    </row>
    <row r="127" spans="1:14" s="74" customFormat="1" ht="51.75" customHeight="1" x14ac:dyDescent="0.25">
      <c r="A127" s="42"/>
      <c r="B127" s="42"/>
      <c r="C127" s="42"/>
      <c r="D127" s="43"/>
      <c r="E127" s="41"/>
      <c r="F127" s="43" t="s">
        <v>265</v>
      </c>
      <c r="G127" s="260"/>
      <c r="H127" s="260"/>
      <c r="I127" s="260"/>
      <c r="J127" s="260"/>
      <c r="K127" s="284">
        <v>329</v>
      </c>
      <c r="L127" s="273">
        <v>329</v>
      </c>
      <c r="M127" s="273">
        <v>322.2</v>
      </c>
      <c r="N127" s="273">
        <f>M127/K127</f>
        <v>0.97933130699088144</v>
      </c>
    </row>
    <row r="128" spans="1:14" s="74" customFormat="1" ht="69.75" customHeight="1" x14ac:dyDescent="0.25">
      <c r="A128" s="42"/>
      <c r="B128" s="42"/>
      <c r="C128" s="42"/>
      <c r="D128" s="43"/>
      <c r="E128" s="41"/>
      <c r="F128" s="43" t="s">
        <v>193</v>
      </c>
      <c r="G128" s="260"/>
      <c r="H128" s="260"/>
      <c r="I128" s="260"/>
      <c r="J128" s="260"/>
      <c r="K128" s="273">
        <v>1000</v>
      </c>
      <c r="L128" s="273">
        <f>100+300</f>
        <v>400</v>
      </c>
      <c r="M128" s="273">
        <v>213.4</v>
      </c>
      <c r="N128" s="273">
        <f t="shared" ref="N128:N134" si="10">M128/K128</f>
        <v>0.21340000000000001</v>
      </c>
    </row>
    <row r="129" spans="1:14" s="74" customFormat="1" ht="54.75" customHeight="1" x14ac:dyDescent="0.25">
      <c r="A129" s="42"/>
      <c r="B129" s="42"/>
      <c r="C129" s="42"/>
      <c r="D129" s="43"/>
      <c r="E129" s="41"/>
      <c r="F129" s="43" t="s">
        <v>334</v>
      </c>
      <c r="G129" s="260"/>
      <c r="H129" s="260"/>
      <c r="I129" s="260"/>
      <c r="J129" s="260"/>
      <c r="K129" s="273">
        <v>100</v>
      </c>
      <c r="L129" s="273">
        <v>100</v>
      </c>
      <c r="M129" s="273">
        <v>0</v>
      </c>
      <c r="N129" s="273">
        <f t="shared" si="10"/>
        <v>0</v>
      </c>
    </row>
    <row r="130" spans="1:14" s="74" customFormat="1" ht="30.75" customHeight="1" x14ac:dyDescent="0.25">
      <c r="A130" s="42"/>
      <c r="B130" s="42"/>
      <c r="C130" s="42"/>
      <c r="D130" s="43"/>
      <c r="E130" s="41"/>
      <c r="F130" s="43" t="s">
        <v>335</v>
      </c>
      <c r="G130" s="260"/>
      <c r="H130" s="260"/>
      <c r="I130" s="260"/>
      <c r="J130" s="260"/>
      <c r="K130" s="273">
        <v>11</v>
      </c>
      <c r="L130" s="273">
        <v>11</v>
      </c>
      <c r="M130" s="273">
        <v>0</v>
      </c>
      <c r="N130" s="273">
        <f t="shared" si="10"/>
        <v>0</v>
      </c>
    </row>
    <row r="131" spans="1:14" s="74" customFormat="1" ht="39.75" customHeight="1" x14ac:dyDescent="0.25">
      <c r="A131" s="42"/>
      <c r="B131" s="42"/>
      <c r="C131" s="42"/>
      <c r="D131" s="43"/>
      <c r="E131" s="41"/>
      <c r="F131" s="43" t="s">
        <v>403</v>
      </c>
      <c r="G131" s="260"/>
      <c r="H131" s="260"/>
      <c r="I131" s="260"/>
      <c r="J131" s="260"/>
      <c r="K131" s="273">
        <v>77</v>
      </c>
      <c r="L131" s="273">
        <v>77</v>
      </c>
      <c r="M131" s="273">
        <v>0</v>
      </c>
      <c r="N131" s="273">
        <f t="shared" si="10"/>
        <v>0</v>
      </c>
    </row>
    <row r="132" spans="1:14" s="74" customFormat="1" ht="25.5" customHeight="1" x14ac:dyDescent="0.25">
      <c r="A132" s="42"/>
      <c r="B132" s="42"/>
      <c r="C132" s="42"/>
      <c r="D132" s="43"/>
      <c r="E132" s="41"/>
      <c r="F132" s="43" t="s">
        <v>404</v>
      </c>
      <c r="G132" s="260"/>
      <c r="H132" s="260"/>
      <c r="I132" s="260"/>
      <c r="J132" s="260"/>
      <c r="K132" s="273">
        <v>50</v>
      </c>
      <c r="L132" s="273">
        <v>50</v>
      </c>
      <c r="M132" s="273">
        <v>46.999000000000002</v>
      </c>
      <c r="N132" s="273">
        <f t="shared" si="10"/>
        <v>0.93998000000000004</v>
      </c>
    </row>
    <row r="133" spans="1:14" s="74" customFormat="1" ht="36.75" customHeight="1" x14ac:dyDescent="0.25">
      <c r="A133" s="42"/>
      <c r="B133" s="42"/>
      <c r="C133" s="42"/>
      <c r="D133" s="43"/>
      <c r="E133" s="41"/>
      <c r="F133" s="43" t="s">
        <v>405</v>
      </c>
      <c r="G133" s="260"/>
      <c r="H133" s="260"/>
      <c r="I133" s="260"/>
      <c r="J133" s="260"/>
      <c r="K133" s="273">
        <v>350</v>
      </c>
      <c r="L133" s="273">
        <v>0</v>
      </c>
      <c r="M133" s="273">
        <v>0</v>
      </c>
      <c r="N133" s="273">
        <f t="shared" si="10"/>
        <v>0</v>
      </c>
    </row>
    <row r="134" spans="1:14" s="74" customFormat="1" ht="36" customHeight="1" x14ac:dyDescent="0.25">
      <c r="A134" s="42"/>
      <c r="B134" s="42"/>
      <c r="C134" s="42"/>
      <c r="D134" s="43"/>
      <c r="E134" s="41"/>
      <c r="F134" s="43" t="s">
        <v>336</v>
      </c>
      <c r="G134" s="260"/>
      <c r="H134" s="260"/>
      <c r="I134" s="260"/>
      <c r="J134" s="260"/>
      <c r="K134" s="273">
        <v>429</v>
      </c>
      <c r="L134" s="273">
        <v>429</v>
      </c>
      <c r="M134" s="273">
        <v>423.67099999999999</v>
      </c>
      <c r="N134" s="273">
        <f t="shared" si="10"/>
        <v>0.9875780885780886</v>
      </c>
    </row>
    <row r="135" spans="1:14" s="74" customFormat="1" ht="41.25" customHeight="1" x14ac:dyDescent="0.25">
      <c r="A135" s="42">
        <v>4017420</v>
      </c>
      <c r="B135" s="42">
        <v>7420</v>
      </c>
      <c r="C135" s="42">
        <v>490</v>
      </c>
      <c r="D135" s="43" t="s">
        <v>194</v>
      </c>
      <c r="E135" s="41"/>
      <c r="F135" s="43"/>
      <c r="G135" s="283">
        <f>SUM(G136:G141)</f>
        <v>202.7</v>
      </c>
      <c r="H135" s="283">
        <f>SUM(H136:H141)</f>
        <v>47.1</v>
      </c>
      <c r="I135" s="283">
        <f>SUM(I136:I141)</f>
        <v>29.18</v>
      </c>
      <c r="J135" s="260">
        <f>I135/G135*100</f>
        <v>14.395658608781451</v>
      </c>
      <c r="K135" s="260">
        <f>SUM(K136:K141)</f>
        <v>192</v>
      </c>
      <c r="L135" s="260">
        <f>SUM(L136:L141)</f>
        <v>42</v>
      </c>
      <c r="M135" s="260">
        <f>SUM(M136:M141)</f>
        <v>42</v>
      </c>
      <c r="N135" s="260">
        <f>M135/K135*100</f>
        <v>21.875</v>
      </c>
    </row>
    <row r="136" spans="1:14" s="74" customFormat="1" ht="102" customHeight="1" x14ac:dyDescent="0.25">
      <c r="A136" s="42"/>
      <c r="B136" s="42"/>
      <c r="C136" s="42"/>
      <c r="D136" s="80" t="s">
        <v>178</v>
      </c>
      <c r="E136" s="41"/>
      <c r="F136" s="43" t="s">
        <v>384</v>
      </c>
      <c r="G136" s="260">
        <v>104.6</v>
      </c>
      <c r="H136" s="260">
        <v>0</v>
      </c>
      <c r="I136" s="260">
        <v>0</v>
      </c>
      <c r="J136" s="260"/>
      <c r="K136" s="260"/>
      <c r="L136" s="260"/>
      <c r="M136" s="260"/>
      <c r="N136" s="260"/>
    </row>
    <row r="137" spans="1:14" s="74" customFormat="1" ht="62.25" customHeight="1" x14ac:dyDescent="0.25">
      <c r="A137" s="42"/>
      <c r="B137" s="42"/>
      <c r="C137" s="42"/>
      <c r="D137" s="80"/>
      <c r="E137" s="41"/>
      <c r="F137" s="43" t="s">
        <v>372</v>
      </c>
      <c r="G137" s="260">
        <v>34.6</v>
      </c>
      <c r="H137" s="260">
        <f>29.2+5.4</f>
        <v>34.6</v>
      </c>
      <c r="I137" s="260">
        <v>29.18</v>
      </c>
      <c r="J137" s="260"/>
      <c r="K137" s="260"/>
      <c r="L137" s="260"/>
      <c r="M137" s="260"/>
      <c r="N137" s="260"/>
    </row>
    <row r="138" spans="1:14" s="74" customFormat="1" ht="69.75" customHeight="1" x14ac:dyDescent="0.25">
      <c r="A138" s="42"/>
      <c r="B138" s="42"/>
      <c r="C138" s="42"/>
      <c r="D138" s="80"/>
      <c r="E138" s="41"/>
      <c r="F138" s="43" t="s">
        <v>373</v>
      </c>
      <c r="G138" s="260">
        <v>12.5</v>
      </c>
      <c r="H138" s="260">
        <v>12.5</v>
      </c>
      <c r="I138" s="260">
        <v>0</v>
      </c>
      <c r="J138" s="260"/>
      <c r="K138" s="260"/>
      <c r="L138" s="260"/>
      <c r="M138" s="260"/>
      <c r="N138" s="260"/>
    </row>
    <row r="139" spans="1:14" s="74" customFormat="1" ht="42" customHeight="1" x14ac:dyDescent="0.25">
      <c r="A139" s="42"/>
      <c r="B139" s="42"/>
      <c r="C139" s="42"/>
      <c r="D139" s="80"/>
      <c r="E139" s="41"/>
      <c r="F139" s="43" t="s">
        <v>401</v>
      </c>
      <c r="G139" s="260">
        <v>51</v>
      </c>
      <c r="H139" s="260">
        <v>0</v>
      </c>
      <c r="I139" s="260">
        <v>0</v>
      </c>
      <c r="J139" s="260"/>
      <c r="K139" s="260"/>
      <c r="L139" s="260"/>
      <c r="M139" s="260"/>
      <c r="N139" s="260"/>
    </row>
    <row r="140" spans="1:14" s="74" customFormat="1" ht="52.5" customHeight="1" x14ac:dyDescent="0.25">
      <c r="A140" s="42"/>
      <c r="B140" s="42"/>
      <c r="C140" s="42"/>
      <c r="D140" s="43"/>
      <c r="E140" s="41"/>
      <c r="F140" s="43" t="s">
        <v>338</v>
      </c>
      <c r="G140" s="260"/>
      <c r="H140" s="260"/>
      <c r="I140" s="260"/>
      <c r="J140" s="260"/>
      <c r="K140" s="283">
        <v>42</v>
      </c>
      <c r="L140" s="260">
        <v>42</v>
      </c>
      <c r="M140" s="260">
        <v>42</v>
      </c>
      <c r="N140" s="260"/>
    </row>
    <row r="141" spans="1:14" s="74" customFormat="1" ht="55.5" customHeight="1" x14ac:dyDescent="0.25">
      <c r="A141" s="42"/>
      <c r="B141" s="42"/>
      <c r="C141" s="42"/>
      <c r="D141" s="43"/>
      <c r="E141" s="41"/>
      <c r="F141" s="43" t="s">
        <v>337</v>
      </c>
      <c r="G141" s="260"/>
      <c r="H141" s="260"/>
      <c r="I141" s="260"/>
      <c r="J141" s="260"/>
      <c r="K141" s="260">
        <v>150</v>
      </c>
      <c r="L141" s="260">
        <v>0</v>
      </c>
      <c r="M141" s="260">
        <v>0</v>
      </c>
      <c r="N141" s="260"/>
    </row>
    <row r="142" spans="1:14" s="74" customFormat="1" ht="86.25" customHeight="1" x14ac:dyDescent="0.25">
      <c r="A142" s="42">
        <v>4019181</v>
      </c>
      <c r="B142" s="24" t="s">
        <v>313</v>
      </c>
      <c r="C142" s="24" t="s">
        <v>30</v>
      </c>
      <c r="D142" s="43" t="s">
        <v>314</v>
      </c>
      <c r="E142" s="41"/>
      <c r="F142" s="88" t="s">
        <v>315</v>
      </c>
      <c r="G142" s="260"/>
      <c r="H142" s="260"/>
      <c r="I142" s="260"/>
      <c r="J142" s="260"/>
      <c r="K142" s="260">
        <v>127.292</v>
      </c>
      <c r="L142" s="260">
        <v>127.292</v>
      </c>
      <c r="M142" s="260">
        <v>127.292</v>
      </c>
      <c r="N142" s="260"/>
    </row>
    <row r="143" spans="1:14" s="10" customFormat="1" ht="70.5" customHeight="1" x14ac:dyDescent="0.25">
      <c r="A143" s="24"/>
      <c r="B143" s="77"/>
      <c r="C143" s="77"/>
      <c r="D143" s="81"/>
      <c r="E143" s="44"/>
      <c r="F143" s="215" t="s">
        <v>195</v>
      </c>
      <c r="G143" s="270">
        <f>G145</f>
        <v>0</v>
      </c>
      <c r="H143" s="270"/>
      <c r="I143" s="270"/>
      <c r="J143" s="270"/>
      <c r="K143" s="270">
        <f>K144+K145+K147+K148+K153+K156+K150+K146</f>
        <v>24524.171999999999</v>
      </c>
      <c r="L143" s="270">
        <f>L144+L145+L147+L148+L153+L156+L150+L146</f>
        <v>9597.8719999999994</v>
      </c>
      <c r="M143" s="270">
        <f>M144+M145+M147+M148+M153+M156+M150+M146</f>
        <v>1905.0056500000001</v>
      </c>
      <c r="N143" s="270">
        <f>N144+N145+N147+N148+N153+N156+N149+N151+N152</f>
        <v>0</v>
      </c>
    </row>
    <row r="144" spans="1:14" s="71" customFormat="1" ht="84" customHeight="1" x14ac:dyDescent="0.25">
      <c r="A144" s="11" t="s">
        <v>316</v>
      </c>
      <c r="B144" s="11" t="s">
        <v>317</v>
      </c>
      <c r="C144" s="21" t="s">
        <v>190</v>
      </c>
      <c r="D144" s="156" t="s">
        <v>318</v>
      </c>
      <c r="E144" s="44"/>
      <c r="F144" s="43" t="s">
        <v>319</v>
      </c>
      <c r="G144" s="261"/>
      <c r="H144" s="261"/>
      <c r="I144" s="261"/>
      <c r="J144" s="261"/>
      <c r="K144" s="260">
        <v>100</v>
      </c>
      <c r="L144" s="260">
        <v>100</v>
      </c>
      <c r="M144" s="260">
        <v>0</v>
      </c>
      <c r="N144" s="261"/>
    </row>
    <row r="145" spans="1:14" s="71" customFormat="1" ht="39.75" customHeight="1" x14ac:dyDescent="0.25">
      <c r="A145" s="11" t="s">
        <v>196</v>
      </c>
      <c r="B145" s="11" t="s">
        <v>36</v>
      </c>
      <c r="C145" s="24" t="s">
        <v>37</v>
      </c>
      <c r="D145" s="67" t="s">
        <v>197</v>
      </c>
      <c r="E145" s="67" t="s">
        <v>197</v>
      </c>
      <c r="F145" s="67" t="s">
        <v>260</v>
      </c>
      <c r="G145" s="260"/>
      <c r="H145" s="260"/>
      <c r="I145" s="260"/>
      <c r="J145" s="260"/>
      <c r="K145" s="260">
        <v>14481.572</v>
      </c>
      <c r="L145" s="260">
        <v>6211.2719999999999</v>
      </c>
      <c r="M145" s="260">
        <v>1540.0702900000001</v>
      </c>
      <c r="N145" s="260"/>
    </row>
    <row r="146" spans="1:14" s="71" customFormat="1" ht="99.75" customHeight="1" x14ac:dyDescent="0.25">
      <c r="A146" s="11" t="s">
        <v>363</v>
      </c>
      <c r="B146" s="11" t="s">
        <v>364</v>
      </c>
      <c r="C146" s="24" t="s">
        <v>211</v>
      </c>
      <c r="D146" s="67" t="s">
        <v>362</v>
      </c>
      <c r="E146" s="67"/>
      <c r="F146" s="67" t="s">
        <v>365</v>
      </c>
      <c r="G146" s="260"/>
      <c r="H146" s="260"/>
      <c r="I146" s="260"/>
      <c r="J146" s="260"/>
      <c r="K146" s="260">
        <v>395</v>
      </c>
      <c r="L146" s="260">
        <v>300</v>
      </c>
      <c r="M146" s="260">
        <v>0</v>
      </c>
      <c r="N146" s="260"/>
    </row>
    <row r="147" spans="1:14" s="10" customFormat="1" ht="51" customHeight="1" x14ac:dyDescent="0.25">
      <c r="A147" s="82" t="s">
        <v>198</v>
      </c>
      <c r="B147" s="82" t="s">
        <v>199</v>
      </c>
      <c r="C147" s="82" t="s">
        <v>190</v>
      </c>
      <c r="D147" s="67" t="s">
        <v>192</v>
      </c>
      <c r="E147" s="44"/>
      <c r="F147" s="45" t="s">
        <v>261</v>
      </c>
      <c r="G147" s="260">
        <v>0</v>
      </c>
      <c r="H147" s="260"/>
      <c r="I147" s="260"/>
      <c r="J147" s="260"/>
      <c r="K147" s="260">
        <v>37.9</v>
      </c>
      <c r="L147" s="260">
        <v>0</v>
      </c>
      <c r="M147" s="260">
        <v>0</v>
      </c>
      <c r="N147" s="260"/>
    </row>
    <row r="148" spans="1:14" s="10" customFormat="1" ht="36" customHeight="1" x14ac:dyDescent="0.25">
      <c r="A148" s="82" t="s">
        <v>181</v>
      </c>
      <c r="B148" s="82" t="s">
        <v>182</v>
      </c>
      <c r="C148" s="82" t="s">
        <v>200</v>
      </c>
      <c r="D148" s="67" t="s">
        <v>183</v>
      </c>
      <c r="E148" s="67" t="s">
        <v>183</v>
      </c>
      <c r="F148" s="45"/>
      <c r="G148" s="260">
        <f>G149</f>
        <v>0</v>
      </c>
      <c r="H148" s="260"/>
      <c r="I148" s="260"/>
      <c r="J148" s="260"/>
      <c r="K148" s="260">
        <f>K149</f>
        <v>20</v>
      </c>
      <c r="L148" s="260">
        <f>L149</f>
        <v>5</v>
      </c>
      <c r="M148" s="260">
        <f>M149</f>
        <v>2.52128</v>
      </c>
      <c r="N148" s="260"/>
    </row>
    <row r="149" spans="1:14" s="71" customFormat="1" ht="37.5" customHeight="1" x14ac:dyDescent="0.25">
      <c r="A149" s="83" t="s">
        <v>201</v>
      </c>
      <c r="B149" s="83" t="s">
        <v>202</v>
      </c>
      <c r="C149" s="83" t="s">
        <v>203</v>
      </c>
      <c r="D149" s="84" t="s">
        <v>184</v>
      </c>
      <c r="E149" s="44"/>
      <c r="F149" s="45" t="s">
        <v>262</v>
      </c>
      <c r="G149" s="260"/>
      <c r="H149" s="260"/>
      <c r="I149" s="260"/>
      <c r="J149" s="260"/>
      <c r="K149" s="260">
        <v>20</v>
      </c>
      <c r="L149" s="260">
        <v>5</v>
      </c>
      <c r="M149" s="260">
        <v>2.52128</v>
      </c>
      <c r="N149" s="260"/>
    </row>
    <row r="150" spans="1:14" s="232" customFormat="1" ht="48" customHeight="1" x14ac:dyDescent="0.25">
      <c r="A150" s="230" t="s">
        <v>216</v>
      </c>
      <c r="B150" s="230" t="s">
        <v>217</v>
      </c>
      <c r="C150" s="230" t="s">
        <v>37</v>
      </c>
      <c r="D150" s="211" t="s">
        <v>194</v>
      </c>
      <c r="E150" s="214"/>
      <c r="F150" s="215" t="s">
        <v>346</v>
      </c>
      <c r="G150" s="271"/>
      <c r="H150" s="271"/>
      <c r="I150" s="271"/>
      <c r="J150" s="271"/>
      <c r="K150" s="271">
        <f>K151+K152</f>
        <v>825</v>
      </c>
      <c r="L150" s="271">
        <f>L151+L152</f>
        <v>825</v>
      </c>
      <c r="M150" s="271">
        <f>M151+M152</f>
        <v>214.61508000000003</v>
      </c>
      <c r="N150" s="271">
        <f>M150/K150*100</f>
        <v>26.013949090909094</v>
      </c>
    </row>
    <row r="151" spans="1:14" s="71" customFormat="1" ht="53.25" customHeight="1" x14ac:dyDescent="0.25">
      <c r="A151" s="83"/>
      <c r="B151" s="83"/>
      <c r="C151" s="83"/>
      <c r="D151" s="229"/>
      <c r="E151" s="44"/>
      <c r="F151" s="45" t="s">
        <v>339</v>
      </c>
      <c r="G151" s="260"/>
      <c r="H151" s="260"/>
      <c r="I151" s="260"/>
      <c r="J151" s="260"/>
      <c r="K151" s="283">
        <v>325</v>
      </c>
      <c r="L151" s="260">
        <v>325</v>
      </c>
      <c r="M151" s="260">
        <v>85.161240000000006</v>
      </c>
      <c r="N151" s="260"/>
    </row>
    <row r="152" spans="1:14" s="71" customFormat="1" ht="53.25" customHeight="1" x14ac:dyDescent="0.25">
      <c r="A152" s="83"/>
      <c r="B152" s="83"/>
      <c r="C152" s="83"/>
      <c r="D152" s="229"/>
      <c r="E152" s="44"/>
      <c r="F152" s="45" t="s">
        <v>340</v>
      </c>
      <c r="G152" s="260"/>
      <c r="H152" s="260"/>
      <c r="I152" s="260"/>
      <c r="J152" s="260"/>
      <c r="K152" s="260">
        <v>500</v>
      </c>
      <c r="L152" s="260">
        <v>500</v>
      </c>
      <c r="M152" s="260">
        <v>129.45384000000001</v>
      </c>
      <c r="N152" s="260"/>
    </row>
    <row r="153" spans="1:14" s="10" customFormat="1" ht="29.25" customHeight="1" x14ac:dyDescent="0.25">
      <c r="A153" s="82" t="s">
        <v>204</v>
      </c>
      <c r="B153" s="82" t="s">
        <v>128</v>
      </c>
      <c r="C153" s="82" t="s">
        <v>205</v>
      </c>
      <c r="D153" s="213" t="s">
        <v>206</v>
      </c>
      <c r="E153" s="214"/>
      <c r="F153" s="215"/>
      <c r="G153" s="271">
        <f>SUM(G154:G155)</f>
        <v>0</v>
      </c>
      <c r="H153" s="271"/>
      <c r="I153" s="271"/>
      <c r="J153" s="271"/>
      <c r="K153" s="271">
        <f>SUM(K154:K155)</f>
        <v>1936.3999999999999</v>
      </c>
      <c r="L153" s="271">
        <f>SUM(L154:L155)</f>
        <v>128.30000000000001</v>
      </c>
      <c r="M153" s="271">
        <f>SUM(M154:M155)</f>
        <v>97.998999999999995</v>
      </c>
      <c r="N153" s="271"/>
    </row>
    <row r="154" spans="1:14" s="71" customFormat="1" ht="105.75" customHeight="1" x14ac:dyDescent="0.25">
      <c r="A154" s="83"/>
      <c r="B154" s="83"/>
      <c r="C154" s="83"/>
      <c r="D154" s="81" t="s">
        <v>178</v>
      </c>
      <c r="E154" s="67" t="s">
        <v>207</v>
      </c>
      <c r="F154" s="67" t="s">
        <v>378</v>
      </c>
      <c r="G154" s="260"/>
      <c r="H154" s="260"/>
      <c r="I154" s="260"/>
      <c r="J154" s="260"/>
      <c r="K154" s="273">
        <v>1908.1</v>
      </c>
      <c r="L154" s="273">
        <v>100</v>
      </c>
      <c r="M154" s="273">
        <v>97.998999999999995</v>
      </c>
      <c r="N154" s="273"/>
    </row>
    <row r="155" spans="1:14" s="71" customFormat="1" ht="56.25" customHeight="1" x14ac:dyDescent="0.25">
      <c r="A155" s="83"/>
      <c r="B155" s="83"/>
      <c r="C155" s="83"/>
      <c r="D155" s="81"/>
      <c r="E155" s="67" t="s">
        <v>208</v>
      </c>
      <c r="F155" s="67" t="s">
        <v>208</v>
      </c>
      <c r="G155" s="260"/>
      <c r="H155" s="260"/>
      <c r="I155" s="260"/>
      <c r="J155" s="260"/>
      <c r="K155" s="273">
        <v>28.3</v>
      </c>
      <c r="L155" s="273">
        <v>28.3</v>
      </c>
      <c r="M155" s="273">
        <v>0</v>
      </c>
      <c r="N155" s="273"/>
    </row>
    <row r="156" spans="1:14" s="10" customFormat="1" ht="100.5" customHeight="1" x14ac:dyDescent="0.25">
      <c r="A156" s="82" t="s">
        <v>209</v>
      </c>
      <c r="B156" s="82" t="s">
        <v>210</v>
      </c>
      <c r="C156" s="82" t="s">
        <v>211</v>
      </c>
      <c r="D156" s="67" t="s">
        <v>212</v>
      </c>
      <c r="E156" s="67"/>
      <c r="F156" s="211"/>
      <c r="G156" s="271">
        <f>SUM(G157:G159)</f>
        <v>0</v>
      </c>
      <c r="H156" s="271"/>
      <c r="I156" s="271"/>
      <c r="J156" s="271"/>
      <c r="K156" s="271">
        <f>SUM(K157:K159)</f>
        <v>6728.3</v>
      </c>
      <c r="L156" s="271">
        <f>SUM(L157:L159)</f>
        <v>2028.3</v>
      </c>
      <c r="M156" s="271">
        <f>SUM(M157:M159)</f>
        <v>49.8</v>
      </c>
      <c r="N156" s="271"/>
    </row>
    <row r="157" spans="1:14" s="71" customFormat="1" ht="93" customHeight="1" x14ac:dyDescent="0.25">
      <c r="A157" s="83"/>
      <c r="B157" s="83"/>
      <c r="C157" s="83"/>
      <c r="D157" s="81" t="s">
        <v>178</v>
      </c>
      <c r="E157" s="67" t="s">
        <v>213</v>
      </c>
      <c r="F157" s="67" t="s">
        <v>379</v>
      </c>
      <c r="G157" s="260"/>
      <c r="H157" s="260"/>
      <c r="I157" s="260"/>
      <c r="J157" s="260"/>
      <c r="K157" s="273">
        <v>3230.2</v>
      </c>
      <c r="L157" s="273">
        <v>1000</v>
      </c>
      <c r="M157" s="273">
        <v>23</v>
      </c>
      <c r="N157" s="273"/>
    </row>
    <row r="158" spans="1:14" s="71" customFormat="1" ht="104.25" customHeight="1" x14ac:dyDescent="0.25">
      <c r="A158" s="83"/>
      <c r="B158" s="83"/>
      <c r="C158" s="83"/>
      <c r="D158" s="81"/>
      <c r="E158" s="67"/>
      <c r="F158" s="67" t="s">
        <v>380</v>
      </c>
      <c r="G158" s="260"/>
      <c r="H158" s="260"/>
      <c r="I158" s="260"/>
      <c r="J158" s="260"/>
      <c r="K158" s="273">
        <v>3469.8</v>
      </c>
      <c r="L158" s="273">
        <v>1000</v>
      </c>
      <c r="M158" s="273">
        <v>26.8</v>
      </c>
      <c r="N158" s="273"/>
    </row>
    <row r="159" spans="1:14" s="71" customFormat="1" ht="53.25" customHeight="1" x14ac:dyDescent="0.25">
      <c r="A159" s="83"/>
      <c r="B159" s="83"/>
      <c r="C159" s="83"/>
      <c r="D159" s="67"/>
      <c r="E159" s="67" t="s">
        <v>214</v>
      </c>
      <c r="F159" s="67" t="s">
        <v>214</v>
      </c>
      <c r="G159" s="260"/>
      <c r="H159" s="260"/>
      <c r="I159" s="260"/>
      <c r="J159" s="260"/>
      <c r="K159" s="273">
        <v>28.3</v>
      </c>
      <c r="L159" s="273">
        <v>28.3</v>
      </c>
      <c r="M159" s="273"/>
      <c r="N159" s="273"/>
    </row>
    <row r="160" spans="1:14" s="65" customFormat="1" ht="65.25" customHeight="1" x14ac:dyDescent="0.25">
      <c r="A160" s="21"/>
      <c r="B160" s="42"/>
      <c r="C160" s="42"/>
      <c r="D160" s="43"/>
      <c r="E160" s="43"/>
      <c r="F160" s="215" t="s">
        <v>215</v>
      </c>
      <c r="G160" s="270">
        <f>G161</f>
        <v>3289.3999999999996</v>
      </c>
      <c r="H160" s="270">
        <f>H161</f>
        <v>2999.8</v>
      </c>
      <c r="I160" s="270">
        <f>I161</f>
        <v>2874.5287700000003</v>
      </c>
      <c r="J160" s="270">
        <f>I160/G160*100</f>
        <v>87.38763209095886</v>
      </c>
      <c r="K160" s="270"/>
      <c r="L160" s="270"/>
      <c r="M160" s="270"/>
      <c r="N160" s="270"/>
    </row>
    <row r="161" spans="1:14" s="10" customFormat="1" ht="34.5" customHeight="1" x14ac:dyDescent="0.25">
      <c r="A161" s="11" t="s">
        <v>216</v>
      </c>
      <c r="B161" s="11" t="s">
        <v>217</v>
      </c>
      <c r="C161" s="42">
        <v>490</v>
      </c>
      <c r="D161" s="43" t="s">
        <v>194</v>
      </c>
      <c r="E161" s="44"/>
      <c r="F161" s="63"/>
      <c r="G161" s="283">
        <f>SUM(G162:G167)</f>
        <v>3289.3999999999996</v>
      </c>
      <c r="H161" s="260">
        <f>SUM(H162:H167)</f>
        <v>2999.8</v>
      </c>
      <c r="I161" s="260">
        <f>SUM(I162:I167)</f>
        <v>2874.5287700000003</v>
      </c>
      <c r="J161" s="260"/>
      <c r="K161" s="260">
        <f>SUM(K162:K163)</f>
        <v>0</v>
      </c>
      <c r="L161" s="260"/>
      <c r="M161" s="260"/>
      <c r="N161" s="260"/>
    </row>
    <row r="162" spans="1:14" s="10" customFormat="1" ht="97.5" customHeight="1" x14ac:dyDescent="0.25">
      <c r="A162" s="11"/>
      <c r="B162" s="11"/>
      <c r="C162" s="42"/>
      <c r="D162" s="80" t="s">
        <v>178</v>
      </c>
      <c r="E162" s="44"/>
      <c r="F162" s="45" t="s">
        <v>366</v>
      </c>
      <c r="G162" s="260">
        <v>78.2</v>
      </c>
      <c r="H162" s="260">
        <v>39.799999999999997</v>
      </c>
      <c r="I162" s="260">
        <v>17.297000000000001</v>
      </c>
      <c r="J162" s="260"/>
      <c r="K162" s="260"/>
      <c r="L162" s="260"/>
      <c r="M162" s="260"/>
      <c r="N162" s="260"/>
    </row>
    <row r="163" spans="1:14" s="10" customFormat="1" ht="102" customHeight="1" x14ac:dyDescent="0.25">
      <c r="A163" s="11"/>
      <c r="B163" s="11"/>
      <c r="C163" s="42"/>
      <c r="D163" s="43"/>
      <c r="E163" s="44"/>
      <c r="F163" s="16" t="s">
        <v>276</v>
      </c>
      <c r="G163" s="260">
        <v>2420</v>
      </c>
      <c r="H163" s="260">
        <v>2420</v>
      </c>
      <c r="I163" s="260">
        <v>2420</v>
      </c>
      <c r="J163" s="260"/>
      <c r="K163" s="260"/>
      <c r="L163" s="260"/>
      <c r="M163" s="260"/>
      <c r="N163" s="260"/>
    </row>
    <row r="164" spans="1:14" s="10" customFormat="1" ht="87" customHeight="1" x14ac:dyDescent="0.25">
      <c r="A164" s="11"/>
      <c r="B164" s="11"/>
      <c r="C164" s="42"/>
      <c r="D164" s="43"/>
      <c r="E164" s="44"/>
      <c r="F164" s="16" t="s">
        <v>385</v>
      </c>
      <c r="G164" s="260">
        <v>251.2</v>
      </c>
      <c r="H164" s="260">
        <v>0</v>
      </c>
      <c r="I164" s="260">
        <v>0</v>
      </c>
      <c r="J164" s="260"/>
      <c r="K164" s="260"/>
      <c r="L164" s="260"/>
      <c r="M164" s="260"/>
      <c r="N164" s="260"/>
    </row>
    <row r="165" spans="1:14" s="10" customFormat="1" ht="87" customHeight="1" x14ac:dyDescent="0.25">
      <c r="A165" s="11"/>
      <c r="B165" s="11"/>
      <c r="C165" s="42"/>
      <c r="D165" s="43"/>
      <c r="E165" s="44"/>
      <c r="F165" s="16" t="s">
        <v>386</v>
      </c>
      <c r="G165" s="260">
        <v>195</v>
      </c>
      <c r="H165" s="260">
        <v>195</v>
      </c>
      <c r="I165" s="260">
        <v>194.98099999999999</v>
      </c>
      <c r="J165" s="260"/>
      <c r="K165" s="260"/>
      <c r="L165" s="260"/>
      <c r="M165" s="260"/>
      <c r="N165" s="260"/>
    </row>
    <row r="166" spans="1:14" s="10" customFormat="1" ht="121.5" customHeight="1" x14ac:dyDescent="0.25">
      <c r="A166" s="11"/>
      <c r="B166" s="11"/>
      <c r="C166" s="42"/>
      <c r="D166" s="43"/>
      <c r="E166" s="44"/>
      <c r="F166" s="16" t="s">
        <v>343</v>
      </c>
      <c r="G166" s="260">
        <v>195</v>
      </c>
      <c r="H166" s="260">
        <v>195</v>
      </c>
      <c r="I166" s="260">
        <f>58.2+35.25077</f>
        <v>93.450770000000006</v>
      </c>
      <c r="J166" s="260"/>
      <c r="K166" s="260"/>
      <c r="L166" s="260"/>
      <c r="M166" s="260"/>
      <c r="N166" s="260"/>
    </row>
    <row r="167" spans="1:14" s="10" customFormat="1" ht="86.25" customHeight="1" x14ac:dyDescent="0.25">
      <c r="A167" s="11"/>
      <c r="B167" s="11"/>
      <c r="C167" s="42"/>
      <c r="D167" s="43"/>
      <c r="E167" s="44"/>
      <c r="F167" s="16" t="s">
        <v>419</v>
      </c>
      <c r="G167" s="260">
        <v>150</v>
      </c>
      <c r="H167" s="260">
        <v>150</v>
      </c>
      <c r="I167" s="260">
        <v>148.80000000000001</v>
      </c>
      <c r="J167" s="260"/>
      <c r="K167" s="260"/>
      <c r="L167" s="260"/>
      <c r="M167" s="260"/>
      <c r="N167" s="260"/>
    </row>
    <row r="168" spans="1:14" s="242" customFormat="1" ht="55.5" customHeight="1" x14ac:dyDescent="0.25">
      <c r="A168" s="239"/>
      <c r="B168" s="240"/>
      <c r="C168" s="240"/>
      <c r="D168" s="211"/>
      <c r="E168" s="211"/>
      <c r="F168" s="210" t="s">
        <v>218</v>
      </c>
      <c r="G168" s="279">
        <f>G169+G170</f>
        <v>240</v>
      </c>
      <c r="H168" s="279">
        <f t="shared" ref="H168:I168" si="11">H169+H170</f>
        <v>240</v>
      </c>
      <c r="I168" s="279">
        <f t="shared" si="11"/>
        <v>211.62899999999999</v>
      </c>
      <c r="J168" s="270">
        <f>I168/G168*100</f>
        <v>88.178749999999994</v>
      </c>
      <c r="K168" s="270">
        <f>K169+K170</f>
        <v>435</v>
      </c>
      <c r="L168" s="270">
        <f>L169+L170</f>
        <v>435</v>
      </c>
      <c r="M168" s="270">
        <f>M169+M170</f>
        <v>0</v>
      </c>
      <c r="N168" s="270">
        <f>M168/K168*100</f>
        <v>0</v>
      </c>
    </row>
    <row r="169" spans="1:14" s="65" customFormat="1" ht="69" customHeight="1" x14ac:dyDescent="0.25">
      <c r="A169" s="11" t="s">
        <v>188</v>
      </c>
      <c r="B169" s="11" t="s">
        <v>189</v>
      </c>
      <c r="C169" s="11" t="s">
        <v>190</v>
      </c>
      <c r="D169" s="43" t="s">
        <v>191</v>
      </c>
      <c r="E169" s="67"/>
      <c r="F169" s="43" t="s">
        <v>320</v>
      </c>
      <c r="G169" s="261"/>
      <c r="H169" s="261"/>
      <c r="I169" s="261"/>
      <c r="J169" s="261"/>
      <c r="K169" s="260">
        <v>435</v>
      </c>
      <c r="L169" s="260">
        <v>435</v>
      </c>
      <c r="M169" s="260">
        <v>0</v>
      </c>
      <c r="N169" s="261"/>
    </row>
    <row r="170" spans="1:14" s="65" customFormat="1" ht="78" customHeight="1" x14ac:dyDescent="0.25">
      <c r="A170" s="42">
        <v>4016060</v>
      </c>
      <c r="B170" s="21" t="s">
        <v>199</v>
      </c>
      <c r="C170" s="21" t="s">
        <v>190</v>
      </c>
      <c r="D170" s="67" t="s">
        <v>192</v>
      </c>
      <c r="E170" s="43"/>
      <c r="F170" s="16" t="s">
        <v>219</v>
      </c>
      <c r="G170" s="281">
        <v>240</v>
      </c>
      <c r="H170" s="278">
        <f>211.7+28.3</f>
        <v>240</v>
      </c>
      <c r="I170" s="278">
        <v>211.62899999999999</v>
      </c>
      <c r="J170" s="260"/>
      <c r="K170" s="260"/>
      <c r="L170" s="260"/>
      <c r="M170" s="260"/>
      <c r="N170" s="260"/>
    </row>
    <row r="171" spans="1:14" s="242" customFormat="1" ht="58.5" customHeight="1" x14ac:dyDescent="0.25">
      <c r="A171" s="243"/>
      <c r="B171" s="243"/>
      <c r="C171" s="243"/>
      <c r="D171" s="244"/>
      <c r="E171" s="210"/>
      <c r="F171" s="215" t="s">
        <v>277</v>
      </c>
      <c r="G171" s="270">
        <f>G172</f>
        <v>9</v>
      </c>
      <c r="H171" s="270">
        <f t="shared" ref="H171:I171" si="12">H172</f>
        <v>9</v>
      </c>
      <c r="I171" s="270">
        <f t="shared" si="12"/>
        <v>0.57699999999999996</v>
      </c>
      <c r="J171" s="270"/>
      <c r="K171" s="270"/>
      <c r="L171" s="270"/>
      <c r="M171" s="270"/>
      <c r="N171" s="270"/>
    </row>
    <row r="172" spans="1:14" s="65" customFormat="1" ht="42.75" customHeight="1" x14ac:dyDescent="0.25">
      <c r="A172" s="11" t="s">
        <v>216</v>
      </c>
      <c r="B172" s="11" t="s">
        <v>217</v>
      </c>
      <c r="C172" s="11" t="s">
        <v>37</v>
      </c>
      <c r="D172" s="85" t="s">
        <v>220</v>
      </c>
      <c r="E172" s="43"/>
      <c r="F172" s="43" t="s">
        <v>221</v>
      </c>
      <c r="G172" s="260">
        <v>9</v>
      </c>
      <c r="H172" s="260">
        <v>9</v>
      </c>
      <c r="I172" s="260">
        <v>0.57699999999999996</v>
      </c>
      <c r="J172" s="260"/>
      <c r="K172" s="260"/>
      <c r="L172" s="260"/>
      <c r="M172" s="260"/>
      <c r="N172" s="260"/>
    </row>
    <row r="173" spans="1:14" s="65" customFormat="1" ht="53.25" customHeight="1" x14ac:dyDescent="0.25">
      <c r="A173" s="42"/>
      <c r="B173" s="21"/>
      <c r="C173" s="21"/>
      <c r="D173" s="67"/>
      <c r="E173" s="43"/>
      <c r="F173" s="215" t="s">
        <v>222</v>
      </c>
      <c r="G173" s="270">
        <f>G174</f>
        <v>130</v>
      </c>
      <c r="H173" s="270">
        <f t="shared" ref="H173:I173" si="13">H174</f>
        <v>90</v>
      </c>
      <c r="I173" s="270">
        <f t="shared" si="13"/>
        <v>0</v>
      </c>
      <c r="J173" s="270">
        <f>I173/G173*100</f>
        <v>0</v>
      </c>
      <c r="K173" s="270">
        <f>K175</f>
        <v>70</v>
      </c>
      <c r="L173" s="270">
        <f>L175</f>
        <v>70</v>
      </c>
      <c r="M173" s="270">
        <v>0</v>
      </c>
      <c r="N173" s="270">
        <f>M173/K173*100</f>
        <v>0</v>
      </c>
    </row>
    <row r="174" spans="1:14" s="10" customFormat="1" ht="66.75" customHeight="1" x14ac:dyDescent="0.25">
      <c r="A174" s="42">
        <v>4016060</v>
      </c>
      <c r="B174" s="21" t="s">
        <v>199</v>
      </c>
      <c r="C174" s="21" t="s">
        <v>190</v>
      </c>
      <c r="D174" s="67" t="s">
        <v>192</v>
      </c>
      <c r="E174" s="44"/>
      <c r="F174" s="16" t="s">
        <v>267</v>
      </c>
      <c r="G174" s="283">
        <v>130</v>
      </c>
      <c r="H174" s="260">
        <f>30+30+30</f>
        <v>90</v>
      </c>
      <c r="I174" s="260">
        <v>0</v>
      </c>
      <c r="J174" s="260"/>
      <c r="K174" s="260"/>
      <c r="L174" s="260"/>
      <c r="M174" s="260"/>
      <c r="N174" s="260"/>
    </row>
    <row r="175" spans="1:14" s="10" customFormat="1" ht="81.75" customHeight="1" x14ac:dyDescent="0.25">
      <c r="A175" s="42"/>
      <c r="B175" s="21"/>
      <c r="C175" s="21"/>
      <c r="D175" s="67"/>
      <c r="E175" s="44"/>
      <c r="F175" s="16" t="s">
        <v>223</v>
      </c>
      <c r="G175" s="260"/>
      <c r="H175" s="260"/>
      <c r="I175" s="260"/>
      <c r="J175" s="260"/>
      <c r="K175" s="260">
        <v>70</v>
      </c>
      <c r="L175" s="260">
        <v>70</v>
      </c>
      <c r="M175" s="260">
        <v>0</v>
      </c>
      <c r="N175" s="260"/>
    </row>
    <row r="176" spans="1:14" s="65" customFormat="1" ht="66.75" customHeight="1" x14ac:dyDescent="0.25">
      <c r="A176" s="42"/>
      <c r="B176" s="21"/>
      <c r="C176" s="21"/>
      <c r="D176" s="43"/>
      <c r="E176" s="43"/>
      <c r="F176" s="215" t="s">
        <v>278</v>
      </c>
      <c r="G176" s="279">
        <f>G177+G178+G179+G180</f>
        <v>603.9</v>
      </c>
      <c r="H176" s="279">
        <f>H177+H178+H179+H180</f>
        <v>345.9</v>
      </c>
      <c r="I176" s="279">
        <f>I177+I178+I179+I180</f>
        <v>179.3</v>
      </c>
      <c r="J176" s="270">
        <f>I176/G176*100</f>
        <v>29.690346083788711</v>
      </c>
      <c r="K176" s="270">
        <f>-K177+K178+K179</f>
        <v>42.87</v>
      </c>
      <c r="L176" s="270">
        <f>-L177+L178+L179</f>
        <v>42.87</v>
      </c>
      <c r="M176" s="270">
        <f>-M177+M178+M179</f>
        <v>42.87</v>
      </c>
      <c r="N176" s="270">
        <f>M176/K176*100</f>
        <v>100</v>
      </c>
    </row>
    <row r="177" spans="1:14" s="65" customFormat="1" ht="102.75" customHeight="1" x14ac:dyDescent="0.25">
      <c r="A177" s="42">
        <v>4016060</v>
      </c>
      <c r="B177" s="21" t="s">
        <v>199</v>
      </c>
      <c r="C177" s="21" t="s">
        <v>190</v>
      </c>
      <c r="D177" s="43" t="s">
        <v>224</v>
      </c>
      <c r="E177" s="43"/>
      <c r="F177" s="45" t="s">
        <v>402</v>
      </c>
      <c r="G177" s="281">
        <v>400</v>
      </c>
      <c r="H177" s="278">
        <f>232+32</f>
        <v>264</v>
      </c>
      <c r="I177" s="278">
        <v>129.80000000000001</v>
      </c>
      <c r="J177" s="260"/>
      <c r="K177" s="260"/>
      <c r="L177" s="260"/>
      <c r="M177" s="260"/>
      <c r="N177" s="260"/>
    </row>
    <row r="178" spans="1:14" s="65" customFormat="1" ht="57" customHeight="1" x14ac:dyDescent="0.25">
      <c r="A178" s="42">
        <v>4017420</v>
      </c>
      <c r="B178" s="21" t="s">
        <v>217</v>
      </c>
      <c r="C178" s="21" t="s">
        <v>37</v>
      </c>
      <c r="D178" s="85" t="s">
        <v>194</v>
      </c>
      <c r="E178" s="43"/>
      <c r="F178" s="45" t="s">
        <v>226</v>
      </c>
      <c r="G178" s="278">
        <v>200</v>
      </c>
      <c r="H178" s="278">
        <v>78</v>
      </c>
      <c r="I178" s="278">
        <v>45.6</v>
      </c>
      <c r="J178" s="260"/>
      <c r="K178" s="260"/>
      <c r="L178" s="260"/>
      <c r="M178" s="260"/>
      <c r="N178" s="260"/>
    </row>
    <row r="179" spans="1:14" s="65" customFormat="1" ht="36.75" customHeight="1" x14ac:dyDescent="0.25">
      <c r="A179" s="42"/>
      <c r="B179" s="21"/>
      <c r="C179" s="21"/>
      <c r="D179" s="85"/>
      <c r="E179" s="43"/>
      <c r="F179" s="45" t="s">
        <v>367</v>
      </c>
      <c r="G179" s="278"/>
      <c r="H179" s="278"/>
      <c r="I179" s="278"/>
      <c r="J179" s="260"/>
      <c r="K179" s="283">
        <v>42.87</v>
      </c>
      <c r="L179" s="260">
        <v>42.87</v>
      </c>
      <c r="M179" s="260">
        <v>42.87</v>
      </c>
      <c r="N179" s="260"/>
    </row>
    <row r="180" spans="1:14" s="65" customFormat="1" ht="59.25" customHeight="1" x14ac:dyDescent="0.25">
      <c r="A180" s="42"/>
      <c r="B180" s="21"/>
      <c r="C180" s="21"/>
      <c r="D180" s="85"/>
      <c r="E180" s="43"/>
      <c r="F180" s="45" t="s">
        <v>368</v>
      </c>
      <c r="G180" s="278">
        <v>3.9</v>
      </c>
      <c r="H180" s="278">
        <v>3.9</v>
      </c>
      <c r="I180" s="278">
        <v>3.9</v>
      </c>
      <c r="J180" s="260"/>
      <c r="K180" s="260"/>
      <c r="L180" s="260"/>
      <c r="M180" s="260"/>
      <c r="N180" s="260"/>
    </row>
    <row r="181" spans="1:14" s="242" customFormat="1" ht="44.25" customHeight="1" x14ac:dyDescent="0.25">
      <c r="A181" s="239"/>
      <c r="B181" s="240"/>
      <c r="C181" s="240"/>
      <c r="D181" s="244"/>
      <c r="E181" s="210"/>
      <c r="F181" s="245" t="s">
        <v>345</v>
      </c>
      <c r="G181" s="271">
        <f>G183+G182</f>
        <v>300</v>
      </c>
      <c r="H181" s="271">
        <f>H183+H182</f>
        <v>300</v>
      </c>
      <c r="I181" s="271">
        <f t="shared" ref="I181" si="14">I183</f>
        <v>0</v>
      </c>
      <c r="J181" s="271">
        <f>I181/G181*100</f>
        <v>0</v>
      </c>
      <c r="K181" s="271">
        <f>K182+K183</f>
        <v>9.5</v>
      </c>
      <c r="L181" s="271">
        <f>L182+L183</f>
        <v>9.5</v>
      </c>
      <c r="M181" s="271">
        <f>M182+M183</f>
        <v>0</v>
      </c>
      <c r="N181" s="271">
        <f>M181/K181*100</f>
        <v>0</v>
      </c>
    </row>
    <row r="182" spans="1:14" s="65" customFormat="1" ht="47.25" customHeight="1" x14ac:dyDescent="0.25">
      <c r="A182" s="42"/>
      <c r="B182" s="21"/>
      <c r="C182" s="21"/>
      <c r="D182" s="85"/>
      <c r="E182" s="43"/>
      <c r="F182" s="45" t="s">
        <v>420</v>
      </c>
      <c r="G182" s="260"/>
      <c r="H182" s="260"/>
      <c r="I182" s="260"/>
      <c r="J182" s="260"/>
      <c r="K182" s="283">
        <v>9.5</v>
      </c>
      <c r="L182" s="260">
        <v>9.5</v>
      </c>
      <c r="M182" s="260">
        <v>0</v>
      </c>
      <c r="N182" s="260"/>
    </row>
    <row r="183" spans="1:14" s="65" customFormat="1" ht="32.25" customHeight="1" x14ac:dyDescent="0.25">
      <c r="A183" s="42"/>
      <c r="B183" s="21"/>
      <c r="C183" s="21"/>
      <c r="D183" s="85"/>
      <c r="E183" s="43"/>
      <c r="F183" s="45" t="s">
        <v>370</v>
      </c>
      <c r="G183" s="283">
        <v>300</v>
      </c>
      <c r="H183" s="260">
        <v>300</v>
      </c>
      <c r="I183" s="260">
        <v>0</v>
      </c>
      <c r="J183" s="260"/>
      <c r="K183" s="260"/>
      <c r="L183" s="260"/>
      <c r="M183" s="260"/>
      <c r="N183" s="260"/>
    </row>
    <row r="184" spans="1:14" s="249" customFormat="1" ht="56.25" customHeight="1" x14ac:dyDescent="0.25">
      <c r="A184" s="246"/>
      <c r="B184" s="247"/>
      <c r="C184" s="247"/>
      <c r="D184" s="210"/>
      <c r="E184" s="214"/>
      <c r="F184" s="248" t="s">
        <v>291</v>
      </c>
      <c r="G184" s="270">
        <f>G185+G186+G189</f>
        <v>1031.9000000000001</v>
      </c>
      <c r="H184" s="270">
        <f>H185+H186+H189</f>
        <v>1000</v>
      </c>
      <c r="I184" s="270">
        <f>I185+I186+I189</f>
        <v>905.6</v>
      </c>
      <c r="J184" s="270">
        <f>I184/G184*100</f>
        <v>87.760441903285198</v>
      </c>
      <c r="K184" s="270">
        <f>K185+K186+K189</f>
        <v>4160</v>
      </c>
      <c r="L184" s="270">
        <f>L185+L186+L189</f>
        <v>1278</v>
      </c>
      <c r="M184" s="270">
        <f>M185+M186+M189</f>
        <v>57.539940000000001</v>
      </c>
      <c r="N184" s="270">
        <f>M184/K184*100</f>
        <v>1.3831716346153846</v>
      </c>
    </row>
    <row r="185" spans="1:14" s="19" customFormat="1" ht="68.25" customHeight="1" x14ac:dyDescent="0.25">
      <c r="A185" s="42">
        <v>4016010</v>
      </c>
      <c r="B185" s="24" t="s">
        <v>227</v>
      </c>
      <c r="C185" s="24" t="s">
        <v>203</v>
      </c>
      <c r="D185" s="43" t="s">
        <v>228</v>
      </c>
      <c r="E185" s="44"/>
      <c r="F185" s="88" t="s">
        <v>229</v>
      </c>
      <c r="G185" s="260">
        <v>1031.9000000000001</v>
      </c>
      <c r="H185" s="260">
        <v>1000</v>
      </c>
      <c r="I185" s="260">
        <v>905.6</v>
      </c>
      <c r="J185" s="260"/>
      <c r="K185" s="260"/>
      <c r="L185" s="260"/>
      <c r="M185" s="260"/>
      <c r="N185" s="260"/>
    </row>
    <row r="186" spans="1:14" s="19" customFormat="1" ht="39" customHeight="1" x14ac:dyDescent="0.25">
      <c r="A186" s="11" t="s">
        <v>181</v>
      </c>
      <c r="B186" s="11" t="s">
        <v>182</v>
      </c>
      <c r="C186" s="21" t="s">
        <v>203</v>
      </c>
      <c r="D186" s="67" t="s">
        <v>183</v>
      </c>
      <c r="E186" s="44"/>
      <c r="F186" s="86"/>
      <c r="G186" s="260">
        <f>G187</f>
        <v>0</v>
      </c>
      <c r="H186" s="260"/>
      <c r="I186" s="260"/>
      <c r="J186" s="260"/>
      <c r="K186" s="260">
        <f>SUM(K187:K188)</f>
        <v>2610</v>
      </c>
      <c r="L186" s="260">
        <f>SUM(L187:L188)</f>
        <v>1038</v>
      </c>
      <c r="M186" s="260">
        <f>SUM(M187:M188)</f>
        <v>57.539940000000001</v>
      </c>
      <c r="N186" s="260">
        <f>M186/K186*100</f>
        <v>2.2045954022988505</v>
      </c>
    </row>
    <row r="187" spans="1:14" s="227" customFormat="1" ht="78" customHeight="1" x14ac:dyDescent="0.25">
      <c r="A187" s="154" t="s">
        <v>230</v>
      </c>
      <c r="B187" s="154" t="s">
        <v>279</v>
      </c>
      <c r="C187" s="24" t="s">
        <v>203</v>
      </c>
      <c r="D187" s="43" t="s">
        <v>231</v>
      </c>
      <c r="E187" s="43" t="s">
        <v>231</v>
      </c>
      <c r="F187" s="67" t="s">
        <v>268</v>
      </c>
      <c r="G187" s="260"/>
      <c r="H187" s="260"/>
      <c r="I187" s="260"/>
      <c r="J187" s="260"/>
      <c r="K187" s="273">
        <f>1710</f>
        <v>1710</v>
      </c>
      <c r="L187" s="273">
        <v>513</v>
      </c>
      <c r="M187" s="273"/>
      <c r="N187" s="273"/>
    </row>
    <row r="188" spans="1:14" s="227" customFormat="1" ht="54" customHeight="1" x14ac:dyDescent="0.25">
      <c r="A188" s="154"/>
      <c r="B188" s="154"/>
      <c r="C188" s="24"/>
      <c r="D188" s="43"/>
      <c r="E188" s="43"/>
      <c r="F188" s="67" t="s">
        <v>269</v>
      </c>
      <c r="G188" s="260"/>
      <c r="H188" s="260"/>
      <c r="I188" s="260"/>
      <c r="J188" s="260"/>
      <c r="K188" s="273">
        <v>900</v>
      </c>
      <c r="L188" s="273">
        <v>525</v>
      </c>
      <c r="M188" s="273">
        <v>57.539940000000001</v>
      </c>
      <c r="N188" s="273"/>
    </row>
    <row r="189" spans="1:14" s="227" customFormat="1" ht="35.25" customHeight="1" x14ac:dyDescent="0.25">
      <c r="A189" s="89">
        <v>4016310</v>
      </c>
      <c r="B189" s="24" t="s">
        <v>36</v>
      </c>
      <c r="C189" s="24" t="s">
        <v>37</v>
      </c>
      <c r="D189" s="43" t="s">
        <v>232</v>
      </c>
      <c r="E189" s="44"/>
      <c r="F189" s="43"/>
      <c r="G189" s="260">
        <f>SUM(G190:G191)</f>
        <v>0</v>
      </c>
      <c r="H189" s="260"/>
      <c r="I189" s="260"/>
      <c r="J189" s="260"/>
      <c r="K189" s="260">
        <f>SUM(K190:K191)</f>
        <v>1550</v>
      </c>
      <c r="L189" s="260">
        <f>SUM(L190:L191)</f>
        <v>240</v>
      </c>
      <c r="M189" s="260">
        <f>SUM(M190:M191)</f>
        <v>0</v>
      </c>
      <c r="N189" s="260">
        <f>M189/K189*100</f>
        <v>0</v>
      </c>
    </row>
    <row r="190" spans="1:14" s="19" customFormat="1" ht="37.5" customHeight="1" x14ac:dyDescent="0.25">
      <c r="A190" s="89"/>
      <c r="B190" s="24"/>
      <c r="C190" s="24"/>
      <c r="D190" s="80" t="s">
        <v>178</v>
      </c>
      <c r="E190" s="44"/>
      <c r="F190" s="43" t="s">
        <v>270</v>
      </c>
      <c r="G190" s="260"/>
      <c r="H190" s="260"/>
      <c r="I190" s="260"/>
      <c r="J190" s="260"/>
      <c r="K190" s="260">
        <v>750</v>
      </c>
      <c r="L190" s="260">
        <v>240</v>
      </c>
      <c r="M190" s="260"/>
      <c r="N190" s="260"/>
    </row>
    <row r="191" spans="1:14" s="19" customFormat="1" ht="72" customHeight="1" x14ac:dyDescent="0.25">
      <c r="A191" s="89"/>
      <c r="B191" s="24"/>
      <c r="C191" s="24"/>
      <c r="D191" s="43"/>
      <c r="E191" s="44"/>
      <c r="F191" s="43" t="s">
        <v>271</v>
      </c>
      <c r="G191" s="260"/>
      <c r="H191" s="260"/>
      <c r="I191" s="260"/>
      <c r="J191" s="260"/>
      <c r="K191" s="260">
        <v>800</v>
      </c>
      <c r="L191" s="260"/>
      <c r="M191" s="260"/>
      <c r="N191" s="260"/>
    </row>
    <row r="192" spans="1:14" s="249" customFormat="1" ht="52.5" customHeight="1" x14ac:dyDescent="0.25">
      <c r="A192" s="250">
        <v>4016052</v>
      </c>
      <c r="B192" s="247" t="s">
        <v>189</v>
      </c>
      <c r="C192" s="247" t="s">
        <v>190</v>
      </c>
      <c r="D192" s="210" t="s">
        <v>191</v>
      </c>
      <c r="E192" s="214"/>
      <c r="F192" s="251" t="s">
        <v>322</v>
      </c>
      <c r="G192" s="270">
        <f>G193</f>
        <v>15</v>
      </c>
      <c r="H192" s="270">
        <f t="shared" ref="H192:I192" si="15">H193</f>
        <v>15</v>
      </c>
      <c r="I192" s="270">
        <f t="shared" si="15"/>
        <v>3.8159999999999998</v>
      </c>
      <c r="J192" s="271">
        <f>I192/G192*100</f>
        <v>25.44</v>
      </c>
      <c r="K192" s="271"/>
      <c r="L192" s="271"/>
      <c r="M192" s="271"/>
      <c r="N192" s="271"/>
    </row>
    <row r="193" spans="1:14" s="19" customFormat="1" ht="35.25" customHeight="1" x14ac:dyDescent="0.25">
      <c r="A193" s="89"/>
      <c r="B193" s="24"/>
      <c r="C193" s="24"/>
      <c r="D193" s="43"/>
      <c r="E193" s="44"/>
      <c r="F193" s="43" t="s">
        <v>321</v>
      </c>
      <c r="G193" s="260">
        <v>15</v>
      </c>
      <c r="H193" s="260">
        <v>15</v>
      </c>
      <c r="I193" s="260">
        <v>3.8159999999999998</v>
      </c>
      <c r="J193" s="260"/>
      <c r="K193" s="260"/>
      <c r="L193" s="260"/>
      <c r="M193" s="260"/>
      <c r="N193" s="260"/>
    </row>
    <row r="194" spans="1:14" s="249" customFormat="1" ht="66" customHeight="1" x14ac:dyDescent="0.25">
      <c r="A194" s="250">
        <v>4017810</v>
      </c>
      <c r="B194" s="247" t="s">
        <v>242</v>
      </c>
      <c r="C194" s="247" t="s">
        <v>243</v>
      </c>
      <c r="D194" s="210" t="s">
        <v>244</v>
      </c>
      <c r="E194" s="214"/>
      <c r="F194" s="288" t="s">
        <v>324</v>
      </c>
      <c r="G194" s="271">
        <f>G195</f>
        <v>150</v>
      </c>
      <c r="H194" s="271">
        <f t="shared" ref="H194:I194" si="16">H195</f>
        <v>150</v>
      </c>
      <c r="I194" s="271">
        <f t="shared" si="16"/>
        <v>0</v>
      </c>
      <c r="J194" s="271">
        <f>I194/G194*100</f>
        <v>0</v>
      </c>
      <c r="K194" s="271"/>
      <c r="L194" s="271"/>
      <c r="M194" s="271"/>
      <c r="N194" s="271"/>
    </row>
    <row r="195" spans="1:14" s="227" customFormat="1" ht="153.75" customHeight="1" x14ac:dyDescent="0.25">
      <c r="A195" s="89"/>
      <c r="B195" s="24"/>
      <c r="C195" s="24"/>
      <c r="D195" s="43"/>
      <c r="E195" s="44"/>
      <c r="F195" s="43" t="s">
        <v>323</v>
      </c>
      <c r="G195" s="260">
        <v>150</v>
      </c>
      <c r="H195" s="260">
        <v>150</v>
      </c>
      <c r="I195" s="260">
        <v>0</v>
      </c>
      <c r="J195" s="260">
        <f>I195/G195*100</f>
        <v>0</v>
      </c>
      <c r="K195" s="260"/>
      <c r="L195" s="260"/>
      <c r="M195" s="260"/>
      <c r="N195" s="260"/>
    </row>
    <row r="196" spans="1:14" s="19" customFormat="1" ht="36" customHeight="1" x14ac:dyDescent="0.25">
      <c r="A196" s="77"/>
      <c r="B196" s="24"/>
      <c r="C196" s="24"/>
      <c r="D196" s="198" t="s">
        <v>50</v>
      </c>
      <c r="E196" s="196"/>
      <c r="F196" s="204"/>
      <c r="G196" s="262">
        <f>G104+G143+G160+G168+G171+G173+G176+G184+G192+G194+G181</f>
        <v>25859.200000000004</v>
      </c>
      <c r="H196" s="262">
        <f>H104+H143+H160+H168+H171+H173+H176+H184+H192+H194+H181</f>
        <v>15333.300000000001</v>
      </c>
      <c r="I196" s="262">
        <f>I104+I143+I160+I168+I171+I173+I176+I184+I192+I194+I181</f>
        <v>12207.811770000002</v>
      </c>
      <c r="J196" s="262">
        <f>I196/G196*100</f>
        <v>47.208775870869943</v>
      </c>
      <c r="K196" s="262">
        <f>K104+K143+K160+K168+K171+K173+K176+K184+K192+K194+K181</f>
        <v>37871.534</v>
      </c>
      <c r="L196" s="262">
        <f>L104+L143+L160+L168+L171+L173+L176+L184+L192+L194+L181</f>
        <v>15360.234</v>
      </c>
      <c r="M196" s="262">
        <f>M104+M143+M160+M168+M171+M173+M176+M184+M192+M194+M181</f>
        <v>4064.9975899999999</v>
      </c>
      <c r="N196" s="262">
        <f>M196/K196*100</f>
        <v>10.733649157174357</v>
      </c>
    </row>
    <row r="197" spans="1:14" s="19" customFormat="1" ht="109.5" customHeight="1" x14ac:dyDescent="0.25">
      <c r="A197" s="169">
        <v>6000000</v>
      </c>
      <c r="B197" s="177"/>
      <c r="C197" s="177"/>
      <c r="D197" s="186" t="s">
        <v>233</v>
      </c>
      <c r="E197" s="190"/>
      <c r="F197" s="191"/>
      <c r="G197" s="267"/>
      <c r="H197" s="267"/>
      <c r="I197" s="267"/>
      <c r="J197" s="267"/>
      <c r="K197" s="267"/>
      <c r="L197" s="267"/>
      <c r="M197" s="267"/>
      <c r="N197" s="267"/>
    </row>
    <row r="198" spans="1:14" s="19" customFormat="1" ht="81.75" customHeight="1" x14ac:dyDescent="0.25">
      <c r="A198" s="187">
        <v>6010000</v>
      </c>
      <c r="B198" s="177"/>
      <c r="C198" s="177"/>
      <c r="D198" s="188" t="s">
        <v>233</v>
      </c>
      <c r="E198" s="190"/>
      <c r="F198" s="191"/>
      <c r="G198" s="267"/>
      <c r="H198" s="267"/>
      <c r="I198" s="267"/>
      <c r="J198" s="267"/>
      <c r="K198" s="267"/>
      <c r="L198" s="267"/>
      <c r="M198" s="267"/>
      <c r="N198" s="267"/>
    </row>
    <row r="199" spans="1:14" s="19" customFormat="1" ht="44.25" customHeight="1" x14ac:dyDescent="0.25">
      <c r="A199" s="77"/>
      <c r="B199" s="24"/>
      <c r="C199" s="24"/>
      <c r="D199" s="44"/>
      <c r="E199" s="44"/>
      <c r="F199" s="216" t="s">
        <v>272</v>
      </c>
      <c r="G199" s="274">
        <f>G200+G201+G202+G203</f>
        <v>320</v>
      </c>
      <c r="H199" s="274">
        <f t="shared" ref="H199:J199" si="17">H200+H201+H202+H203</f>
        <v>131.5</v>
      </c>
      <c r="I199" s="274">
        <f t="shared" si="17"/>
        <v>0</v>
      </c>
      <c r="J199" s="274">
        <f t="shared" si="17"/>
        <v>0</v>
      </c>
      <c r="K199" s="274">
        <f t="shared" ref="K199:M199" si="18">K200+K201+K203</f>
        <v>500</v>
      </c>
      <c r="L199" s="274">
        <f t="shared" si="18"/>
        <v>0</v>
      </c>
      <c r="M199" s="274">
        <f t="shared" si="18"/>
        <v>0</v>
      </c>
      <c r="N199" s="274">
        <f>M199/K199*100</f>
        <v>0</v>
      </c>
    </row>
    <row r="200" spans="1:14" s="19" customFormat="1" ht="63" customHeight="1" x14ac:dyDescent="0.25">
      <c r="A200" s="11" t="s">
        <v>234</v>
      </c>
      <c r="B200" s="11" t="s">
        <v>235</v>
      </c>
      <c r="C200" s="24" t="s">
        <v>236</v>
      </c>
      <c r="D200" s="43" t="s">
        <v>237</v>
      </c>
      <c r="E200" s="44"/>
      <c r="F200" s="88" t="s">
        <v>395</v>
      </c>
      <c r="G200" s="260">
        <v>31.5</v>
      </c>
      <c r="H200" s="260">
        <f>31.5</f>
        <v>31.5</v>
      </c>
      <c r="I200" s="260">
        <v>0</v>
      </c>
      <c r="J200" s="260"/>
      <c r="K200" s="260"/>
      <c r="L200" s="260"/>
      <c r="M200" s="260"/>
      <c r="N200" s="260"/>
    </row>
    <row r="201" spans="1:14" s="19" customFormat="1" ht="79.5" customHeight="1" x14ac:dyDescent="0.25">
      <c r="A201" s="11"/>
      <c r="B201" s="11"/>
      <c r="C201" s="24"/>
      <c r="D201" s="43"/>
      <c r="E201" s="44"/>
      <c r="F201" s="88" t="s">
        <v>307</v>
      </c>
      <c r="G201" s="260">
        <v>100</v>
      </c>
      <c r="H201" s="260">
        <v>30</v>
      </c>
      <c r="I201" s="260">
        <v>0</v>
      </c>
      <c r="J201" s="260"/>
      <c r="K201" s="260"/>
      <c r="L201" s="260"/>
      <c r="M201" s="260"/>
      <c r="N201" s="260"/>
    </row>
    <row r="202" spans="1:14" s="19" customFormat="1" ht="110.25" customHeight="1" x14ac:dyDescent="0.25">
      <c r="A202" s="11"/>
      <c r="B202" s="11"/>
      <c r="C202" s="24"/>
      <c r="D202" s="43"/>
      <c r="E202" s="44"/>
      <c r="F202" s="88" t="s">
        <v>397</v>
      </c>
      <c r="G202" s="260">
        <v>188.5</v>
      </c>
      <c r="H202" s="260">
        <v>70</v>
      </c>
      <c r="I202" s="260">
        <v>0</v>
      </c>
      <c r="J202" s="260"/>
      <c r="K202" s="260"/>
      <c r="L202" s="260"/>
      <c r="M202" s="260"/>
      <c r="N202" s="260"/>
    </row>
    <row r="203" spans="1:14" s="51" customFormat="1" ht="82.5" customHeight="1" x14ac:dyDescent="0.25">
      <c r="A203" s="42">
        <v>6017420</v>
      </c>
      <c r="B203" s="21" t="s">
        <v>217</v>
      </c>
      <c r="C203" s="21" t="s">
        <v>37</v>
      </c>
      <c r="D203" s="43" t="s">
        <v>194</v>
      </c>
      <c r="E203" s="43"/>
      <c r="F203" s="88" t="s">
        <v>374</v>
      </c>
      <c r="G203" s="260"/>
      <c r="H203" s="260"/>
      <c r="I203" s="260"/>
      <c r="J203" s="260"/>
      <c r="K203" s="260">
        <v>500</v>
      </c>
      <c r="L203" s="260">
        <v>0</v>
      </c>
      <c r="M203" s="260">
        <v>0</v>
      </c>
      <c r="N203" s="260"/>
    </row>
    <row r="204" spans="1:14" s="51" customFormat="1" ht="49.5" customHeight="1" x14ac:dyDescent="0.25">
      <c r="A204" s="42"/>
      <c r="B204" s="21"/>
      <c r="C204" s="21"/>
      <c r="D204" s="43"/>
      <c r="E204" s="43"/>
      <c r="F204" s="253" t="s">
        <v>308</v>
      </c>
      <c r="G204" s="275">
        <f t="shared" ref="G204:N204" si="19">G205+G206+G207</f>
        <v>135.69999999999999</v>
      </c>
      <c r="H204" s="275">
        <f t="shared" si="19"/>
        <v>135.69999999999999</v>
      </c>
      <c r="I204" s="275">
        <f t="shared" si="19"/>
        <v>0</v>
      </c>
      <c r="J204" s="275">
        <f t="shared" si="19"/>
        <v>0</v>
      </c>
      <c r="K204" s="275">
        <f t="shared" si="19"/>
        <v>180.17599999999999</v>
      </c>
      <c r="L204" s="275">
        <f t="shared" si="19"/>
        <v>110.176</v>
      </c>
      <c r="M204" s="275">
        <f t="shared" si="19"/>
        <v>33.884099999999997</v>
      </c>
      <c r="N204" s="275">
        <f t="shared" si="19"/>
        <v>24.202928571428568</v>
      </c>
    </row>
    <row r="205" spans="1:14" s="51" customFormat="1" ht="92.25" customHeight="1" x14ac:dyDescent="0.25">
      <c r="A205" s="42">
        <v>6019110</v>
      </c>
      <c r="B205" s="21" t="s">
        <v>239</v>
      </c>
      <c r="C205" s="21" t="s">
        <v>240</v>
      </c>
      <c r="D205" s="43" t="s">
        <v>274</v>
      </c>
      <c r="E205" s="12"/>
      <c r="F205" s="43" t="s">
        <v>389</v>
      </c>
      <c r="G205" s="260"/>
      <c r="H205" s="260"/>
      <c r="I205" s="260"/>
      <c r="J205" s="260"/>
      <c r="K205" s="260">
        <v>140</v>
      </c>
      <c r="L205" s="260">
        <v>70</v>
      </c>
      <c r="M205" s="260">
        <v>33.884099999999997</v>
      </c>
      <c r="N205" s="260">
        <f>M205/K205*100</f>
        <v>24.202928571428568</v>
      </c>
    </row>
    <row r="206" spans="1:14" s="51" customFormat="1" ht="68.25" customHeight="1" x14ac:dyDescent="0.25">
      <c r="A206" s="42">
        <v>6019110</v>
      </c>
      <c r="B206" s="21" t="s">
        <v>239</v>
      </c>
      <c r="C206" s="21" t="s">
        <v>240</v>
      </c>
      <c r="D206" s="43" t="s">
        <v>274</v>
      </c>
      <c r="E206" s="12"/>
      <c r="F206" s="43" t="s">
        <v>396</v>
      </c>
      <c r="G206" s="260"/>
      <c r="H206" s="260"/>
      <c r="I206" s="260"/>
      <c r="J206" s="260"/>
      <c r="K206" s="260">
        <v>40.176000000000002</v>
      </c>
      <c r="L206" s="260">
        <v>40.176000000000002</v>
      </c>
      <c r="M206" s="260">
        <v>0</v>
      </c>
      <c r="N206" s="260">
        <f>M206/K206*100</f>
        <v>0</v>
      </c>
    </row>
    <row r="207" spans="1:14" s="51" customFormat="1" ht="122.25" customHeight="1" x14ac:dyDescent="0.25">
      <c r="A207" s="42">
        <v>6016060</v>
      </c>
      <c r="B207" s="21" t="s">
        <v>199</v>
      </c>
      <c r="C207" s="21" t="s">
        <v>190</v>
      </c>
      <c r="D207" s="287" t="s">
        <v>306</v>
      </c>
      <c r="E207" s="12"/>
      <c r="F207" s="43" t="s">
        <v>390</v>
      </c>
      <c r="G207" s="260">
        <v>135.69999999999999</v>
      </c>
      <c r="H207" s="260">
        <v>135.69999999999999</v>
      </c>
      <c r="I207" s="260">
        <v>0</v>
      </c>
      <c r="J207" s="260">
        <f>I207/G207*100</f>
        <v>0</v>
      </c>
      <c r="K207" s="260"/>
      <c r="L207" s="260"/>
      <c r="M207" s="260"/>
      <c r="N207" s="260"/>
    </row>
    <row r="208" spans="1:14" s="32" customFormat="1" ht="27.75" customHeight="1" x14ac:dyDescent="0.25">
      <c r="A208" s="49"/>
      <c r="B208" s="49"/>
      <c r="C208" s="49"/>
      <c r="D208" s="198" t="s">
        <v>50</v>
      </c>
      <c r="E208" s="198"/>
      <c r="F208" s="198"/>
      <c r="G208" s="262">
        <f>G199+G204</f>
        <v>455.7</v>
      </c>
      <c r="H208" s="262">
        <f t="shared" ref="H208:N208" si="20">H199+H204</f>
        <v>267.2</v>
      </c>
      <c r="I208" s="262">
        <f t="shared" si="20"/>
        <v>0</v>
      </c>
      <c r="J208" s="262">
        <f t="shared" si="20"/>
        <v>0</v>
      </c>
      <c r="K208" s="262">
        <f t="shared" si="20"/>
        <v>680.17599999999993</v>
      </c>
      <c r="L208" s="262">
        <f t="shared" si="20"/>
        <v>110.176</v>
      </c>
      <c r="M208" s="262">
        <f t="shared" si="20"/>
        <v>33.884099999999997</v>
      </c>
      <c r="N208" s="262">
        <f t="shared" si="20"/>
        <v>24.202928571428568</v>
      </c>
    </row>
    <row r="209" spans="1:14" s="51" customFormat="1" ht="100.5" customHeight="1" x14ac:dyDescent="0.25">
      <c r="A209" s="169">
        <v>6700000</v>
      </c>
      <c r="B209" s="192"/>
      <c r="C209" s="192"/>
      <c r="D209" s="181" t="s">
        <v>241</v>
      </c>
      <c r="E209" s="184"/>
      <c r="F209" s="173"/>
      <c r="G209" s="265"/>
      <c r="H209" s="265"/>
      <c r="I209" s="265"/>
      <c r="J209" s="265"/>
      <c r="K209" s="265"/>
      <c r="L209" s="265"/>
      <c r="M209" s="265"/>
      <c r="N209" s="265"/>
    </row>
    <row r="210" spans="1:14" s="51" customFormat="1" ht="96" customHeight="1" x14ac:dyDescent="0.25">
      <c r="A210" s="187">
        <v>6710000</v>
      </c>
      <c r="B210" s="192"/>
      <c r="C210" s="192"/>
      <c r="D210" s="183" t="s">
        <v>241</v>
      </c>
      <c r="E210" s="184"/>
      <c r="F210" s="173"/>
      <c r="G210" s="265"/>
      <c r="H210" s="265"/>
      <c r="I210" s="265"/>
      <c r="J210" s="265"/>
      <c r="K210" s="265"/>
      <c r="L210" s="265"/>
      <c r="M210" s="265"/>
      <c r="N210" s="265"/>
    </row>
    <row r="211" spans="1:14" s="51" customFormat="1" ht="56.25" customHeight="1" x14ac:dyDescent="0.25">
      <c r="A211" s="91">
        <v>6717810</v>
      </c>
      <c r="B211" s="49" t="s">
        <v>242</v>
      </c>
      <c r="C211" s="49" t="s">
        <v>243</v>
      </c>
      <c r="D211" s="67" t="s">
        <v>244</v>
      </c>
      <c r="E211" s="47"/>
      <c r="F211" s="13" t="s">
        <v>381</v>
      </c>
      <c r="G211" s="261">
        <f>G212+G213</f>
        <v>208.3</v>
      </c>
      <c r="H211" s="261">
        <f>H212+H213</f>
        <v>189.2</v>
      </c>
      <c r="I211" s="261">
        <f>I212+I213</f>
        <v>157.4</v>
      </c>
      <c r="J211" s="261">
        <f>I211/G211*100</f>
        <v>75.564090254440714</v>
      </c>
      <c r="K211" s="261">
        <f>K212+K213</f>
        <v>100</v>
      </c>
      <c r="L211" s="261">
        <f>L212+L213</f>
        <v>100</v>
      </c>
      <c r="M211" s="261">
        <f>M212+M213</f>
        <v>94.4</v>
      </c>
      <c r="N211" s="261">
        <f>M211/K211*100</f>
        <v>94.4</v>
      </c>
    </row>
    <row r="212" spans="1:14" s="51" customFormat="1" ht="36" customHeight="1" x14ac:dyDescent="0.25">
      <c r="A212" s="91"/>
      <c r="B212" s="49"/>
      <c r="C212" s="49"/>
      <c r="D212" s="67"/>
      <c r="E212" s="47"/>
      <c r="F212" s="43" t="s">
        <v>382</v>
      </c>
      <c r="G212" s="260">
        <v>38.299999999999997</v>
      </c>
      <c r="H212" s="260">
        <v>19.2</v>
      </c>
      <c r="I212" s="260">
        <v>16.5</v>
      </c>
      <c r="J212" s="260">
        <f>I212/G212*100</f>
        <v>43.080939947780685</v>
      </c>
      <c r="K212" s="260">
        <v>0</v>
      </c>
      <c r="L212" s="260">
        <v>0</v>
      </c>
      <c r="M212" s="260">
        <v>0</v>
      </c>
      <c r="N212" s="260"/>
    </row>
    <row r="213" spans="1:14" s="51" customFormat="1" ht="54.75" customHeight="1" x14ac:dyDescent="0.25">
      <c r="A213" s="91"/>
      <c r="B213" s="49"/>
      <c r="C213" s="49"/>
      <c r="D213" s="67"/>
      <c r="E213" s="47"/>
      <c r="F213" s="43" t="s">
        <v>383</v>
      </c>
      <c r="G213" s="260">
        <v>170</v>
      </c>
      <c r="H213" s="260">
        <v>170</v>
      </c>
      <c r="I213" s="260">
        <v>140.9</v>
      </c>
      <c r="J213" s="260">
        <f>I213/G213*100</f>
        <v>82.882352941176478</v>
      </c>
      <c r="K213" s="260">
        <v>100</v>
      </c>
      <c r="L213" s="260">
        <v>100</v>
      </c>
      <c r="M213" s="260">
        <v>94.4</v>
      </c>
      <c r="N213" s="260"/>
    </row>
    <row r="214" spans="1:14" s="51" customFormat="1" ht="69" customHeight="1" x14ac:dyDescent="0.25">
      <c r="A214" s="91"/>
      <c r="B214" s="49"/>
      <c r="C214" s="49"/>
      <c r="D214" s="67"/>
      <c r="E214" s="47"/>
      <c r="F214" s="13" t="s">
        <v>350</v>
      </c>
      <c r="G214" s="261">
        <f>G215+G216</f>
        <v>60</v>
      </c>
      <c r="H214" s="261">
        <f t="shared" ref="H214:N214" si="21">H215+H216</f>
        <v>15</v>
      </c>
      <c r="I214" s="261">
        <f t="shared" si="21"/>
        <v>9</v>
      </c>
      <c r="J214" s="261">
        <f t="shared" si="21"/>
        <v>0</v>
      </c>
      <c r="K214" s="261">
        <f t="shared" si="21"/>
        <v>203.624</v>
      </c>
      <c r="L214" s="261">
        <f t="shared" si="21"/>
        <v>203.624</v>
      </c>
      <c r="M214" s="261">
        <f t="shared" si="21"/>
        <v>0</v>
      </c>
      <c r="N214" s="261">
        <f t="shared" si="21"/>
        <v>0</v>
      </c>
    </row>
    <row r="215" spans="1:14" s="51" customFormat="1" ht="49.5" customHeight="1" x14ac:dyDescent="0.3">
      <c r="A215" s="159" t="s">
        <v>351</v>
      </c>
      <c r="B215" s="159" t="s">
        <v>352</v>
      </c>
      <c r="C215" s="159" t="s">
        <v>353</v>
      </c>
      <c r="D215" s="236" t="s">
        <v>354</v>
      </c>
      <c r="E215" s="236"/>
      <c r="F215" s="236" t="s">
        <v>355</v>
      </c>
      <c r="G215" s="261">
        <v>60</v>
      </c>
      <c r="H215" s="261">
        <v>15</v>
      </c>
      <c r="I215" s="261">
        <v>9</v>
      </c>
      <c r="J215" s="261"/>
      <c r="K215" s="261"/>
      <c r="L215" s="261"/>
      <c r="M215" s="261"/>
      <c r="N215" s="261"/>
    </row>
    <row r="216" spans="1:14" s="51" customFormat="1" ht="60.75" customHeight="1" x14ac:dyDescent="0.3">
      <c r="A216" s="159" t="s">
        <v>356</v>
      </c>
      <c r="B216" s="159" t="s">
        <v>29</v>
      </c>
      <c r="C216" s="159" t="s">
        <v>30</v>
      </c>
      <c r="D216" s="237" t="s">
        <v>27</v>
      </c>
      <c r="E216" s="236"/>
      <c r="F216" s="236" t="s">
        <v>357</v>
      </c>
      <c r="G216" s="261"/>
      <c r="H216" s="261"/>
      <c r="I216" s="261"/>
      <c r="J216" s="261"/>
      <c r="K216" s="261">
        <v>203.624</v>
      </c>
      <c r="L216" s="261">
        <v>203.624</v>
      </c>
      <c r="M216" s="261">
        <v>0</v>
      </c>
      <c r="N216" s="261">
        <v>0</v>
      </c>
    </row>
    <row r="217" spans="1:14" s="19" customFormat="1" ht="36" customHeight="1" x14ac:dyDescent="0.25">
      <c r="A217" s="48"/>
      <c r="B217" s="78"/>
      <c r="C217" s="78"/>
      <c r="D217" s="198" t="s">
        <v>50</v>
      </c>
      <c r="E217" s="205"/>
      <c r="F217" s="198"/>
      <c r="G217" s="262">
        <f t="shared" ref="G217:N217" si="22">G211+G214</f>
        <v>268.3</v>
      </c>
      <c r="H217" s="262">
        <f t="shared" si="22"/>
        <v>204.2</v>
      </c>
      <c r="I217" s="262">
        <f t="shared" si="22"/>
        <v>166.4</v>
      </c>
      <c r="J217" s="262">
        <f t="shared" si="22"/>
        <v>75.564090254440714</v>
      </c>
      <c r="K217" s="262">
        <f t="shared" si="22"/>
        <v>303.62400000000002</v>
      </c>
      <c r="L217" s="262">
        <f t="shared" si="22"/>
        <v>303.62400000000002</v>
      </c>
      <c r="M217" s="262">
        <f t="shared" si="22"/>
        <v>94.4</v>
      </c>
      <c r="N217" s="262">
        <f t="shared" si="22"/>
        <v>94.4</v>
      </c>
    </row>
    <row r="218" spans="1:14" s="51" customFormat="1" ht="43.5" customHeight="1" x14ac:dyDescent="0.25">
      <c r="A218" s="169">
        <v>7500000</v>
      </c>
      <c r="B218" s="176"/>
      <c r="C218" s="176"/>
      <c r="D218" s="181" t="s">
        <v>246</v>
      </c>
      <c r="E218" s="184"/>
      <c r="F218" s="173"/>
      <c r="G218" s="265"/>
      <c r="H218" s="265"/>
      <c r="I218" s="265"/>
      <c r="J218" s="265"/>
      <c r="K218" s="265"/>
      <c r="L218" s="265"/>
      <c r="M218" s="265"/>
      <c r="N218" s="265"/>
    </row>
    <row r="219" spans="1:14" s="51" customFormat="1" ht="45.75" customHeight="1" x14ac:dyDescent="0.25">
      <c r="A219" s="187">
        <v>7510000</v>
      </c>
      <c r="B219" s="176"/>
      <c r="C219" s="176"/>
      <c r="D219" s="183" t="s">
        <v>246</v>
      </c>
      <c r="E219" s="184"/>
      <c r="F219" s="173"/>
      <c r="G219" s="265"/>
      <c r="H219" s="265"/>
      <c r="I219" s="265"/>
      <c r="J219" s="265"/>
      <c r="K219" s="265"/>
      <c r="L219" s="265"/>
      <c r="M219" s="265"/>
      <c r="N219" s="265"/>
    </row>
    <row r="220" spans="1:14" s="51" customFormat="1" ht="21.75" customHeight="1" x14ac:dyDescent="0.25">
      <c r="A220" s="49" t="s">
        <v>247</v>
      </c>
      <c r="B220" s="49" t="s">
        <v>26</v>
      </c>
      <c r="C220" s="49" t="s">
        <v>30</v>
      </c>
      <c r="D220" s="28" t="s">
        <v>27</v>
      </c>
      <c r="E220" s="47"/>
      <c r="F220" s="13"/>
      <c r="G220" s="261">
        <f>G221</f>
        <v>1560</v>
      </c>
      <c r="H220" s="261">
        <f>H221</f>
        <v>510</v>
      </c>
      <c r="I220" s="261">
        <f>I221</f>
        <v>0</v>
      </c>
      <c r="J220" s="261">
        <f>I220/G220*100</f>
        <v>0</v>
      </c>
      <c r="K220" s="261">
        <f>K221</f>
        <v>0</v>
      </c>
      <c r="L220" s="261"/>
      <c r="M220" s="261"/>
      <c r="N220" s="261"/>
    </row>
    <row r="221" spans="1:14" s="51" customFormat="1" ht="74.25" customHeight="1" x14ac:dyDescent="0.25">
      <c r="A221" s="42">
        <v>7518601</v>
      </c>
      <c r="B221" s="21" t="s">
        <v>29</v>
      </c>
      <c r="C221" s="21" t="s">
        <v>30</v>
      </c>
      <c r="D221" s="28" t="s">
        <v>27</v>
      </c>
      <c r="E221" s="28"/>
      <c r="F221" s="20" t="s">
        <v>273</v>
      </c>
      <c r="G221" s="260">
        <v>1560</v>
      </c>
      <c r="H221" s="260">
        <v>510</v>
      </c>
      <c r="I221" s="260">
        <v>0</v>
      </c>
      <c r="J221" s="260">
        <f>I221/G221*100</f>
        <v>0</v>
      </c>
      <c r="K221" s="260"/>
      <c r="L221" s="260"/>
      <c r="M221" s="260"/>
      <c r="N221" s="260"/>
    </row>
    <row r="222" spans="1:14" s="19" customFormat="1" ht="27.75" customHeight="1" x14ac:dyDescent="0.25">
      <c r="A222" s="49"/>
      <c r="B222" s="49"/>
      <c r="C222" s="49"/>
      <c r="D222" s="219" t="s">
        <v>50</v>
      </c>
      <c r="E222" s="219"/>
      <c r="F222" s="219"/>
      <c r="G222" s="259">
        <f>G220</f>
        <v>1560</v>
      </c>
      <c r="H222" s="259">
        <f>H220</f>
        <v>510</v>
      </c>
      <c r="I222" s="259">
        <f>I220</f>
        <v>0</v>
      </c>
      <c r="J222" s="259">
        <f>I222/G222*100</f>
        <v>0</v>
      </c>
      <c r="K222" s="259">
        <f>K220</f>
        <v>0</v>
      </c>
      <c r="L222" s="259">
        <f>L220</f>
        <v>0</v>
      </c>
      <c r="M222" s="259">
        <f>M220</f>
        <v>0</v>
      </c>
      <c r="N222" s="259"/>
    </row>
    <row r="223" spans="1:14" s="51" customFormat="1" ht="21.6" customHeight="1" x14ac:dyDescent="0.25">
      <c r="A223" s="92"/>
      <c r="B223" s="93"/>
      <c r="C223" s="93"/>
      <c r="D223" s="217" t="s">
        <v>248</v>
      </c>
      <c r="E223" s="217"/>
      <c r="F223" s="218"/>
      <c r="G223" s="276">
        <f>G22+G37+G78+G83+G101+G196+G208+G217+G222+G25</f>
        <v>36365.300000000003</v>
      </c>
      <c r="H223" s="276">
        <f>H22+H37+H78+H83+H101+H196+H208+H217+H222+H25</f>
        <v>19941.500000000004</v>
      </c>
      <c r="I223" s="276">
        <f>I22+I37+I78+I83+I101+I196+I208+I217+I222+I25</f>
        <v>14876.362950000002</v>
      </c>
      <c r="J223" s="276">
        <f>I223/G223*100</f>
        <v>40.908126565709622</v>
      </c>
      <c r="K223" s="276">
        <f>K22+K37+K78+K83+K101+K196+K208+K217+K222+K25</f>
        <v>39731.334000000003</v>
      </c>
      <c r="L223" s="276">
        <f>L22+L37+L78+L83+L101+L196+L208+L217+L222+L25</f>
        <v>16150.034</v>
      </c>
      <c r="M223" s="276">
        <f>M22+M37+M78+M83+M101+M196+M208+M217+M222+M25</f>
        <v>4385.1816899999994</v>
      </c>
      <c r="N223" s="276">
        <f>M223/K223*100</f>
        <v>11.037086471851158</v>
      </c>
    </row>
  </sheetData>
  <mergeCells count="9">
    <mergeCell ref="B6:N6"/>
    <mergeCell ref="B1:N1"/>
    <mergeCell ref="A4:A5"/>
    <mergeCell ref="B4:B5"/>
    <mergeCell ref="C4:C5"/>
    <mergeCell ref="D4:E5"/>
    <mergeCell ref="F4:F5"/>
    <mergeCell ref="G4:I4"/>
    <mergeCell ref="K4:N4"/>
  </mergeCells>
  <hyperlinks>
    <hyperlink ref="F19" r:id="rId1" display="http://akts.yu.mk.ua/showdoc/4829/"/>
  </hyperlinks>
  <pageMargins left="0.70866141732283472" right="0.70866141732283472" top="0.74803149606299213" bottom="0.74803149606299213" header="0.31496062992125984" footer="0.31496062992125984"/>
  <pageSetup paperSize="9" scale="48" fitToHeight="14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view="pageBreakPreview" topLeftCell="B1" zoomScale="75" zoomScaleNormal="68" zoomScaleSheetLayoutView="75" workbookViewId="0">
      <pane ySplit="5" topLeftCell="A161" activePane="bottomLeft" state="frozen"/>
      <selection activeCell="B1" sqref="B1"/>
      <selection pane="bottomLeft" activeCell="I162" sqref="I162"/>
    </sheetView>
  </sheetViews>
  <sheetFormatPr defaultColWidth="8.7109375" defaultRowHeight="12.75" x14ac:dyDescent="0.2"/>
  <cols>
    <col min="1" max="1" width="13" style="1" customWidth="1"/>
    <col min="2" max="2" width="12.140625" style="2" customWidth="1"/>
    <col min="3" max="3" width="11.28515625" style="2" customWidth="1"/>
    <col min="4" max="4" width="37.140625" style="1" customWidth="1"/>
    <col min="5" max="5" width="2.140625" style="1" hidden="1" customWidth="1"/>
    <col min="6" max="6" width="58.7109375" style="1" customWidth="1"/>
    <col min="7" max="10" width="16.7109375" style="1" customWidth="1"/>
    <col min="11" max="11" width="18.140625" style="1" customWidth="1"/>
    <col min="12" max="14" width="16.7109375" style="1" customWidth="1"/>
    <col min="15" max="192" width="8.7109375" style="1"/>
    <col min="193" max="193" width="13" style="1" customWidth="1"/>
    <col min="194" max="194" width="12.140625" style="1" customWidth="1"/>
    <col min="195" max="195" width="11.28515625" style="1" customWidth="1"/>
    <col min="196" max="196" width="37.140625" style="1" customWidth="1"/>
    <col min="197" max="197" width="0" style="1" hidden="1" customWidth="1"/>
    <col min="198" max="198" width="58.7109375" style="1" customWidth="1"/>
    <col min="199" max="201" width="16.7109375" style="1" customWidth="1"/>
    <col min="202" max="202" width="53.28515625" style="1" customWidth="1"/>
    <col min="203" max="203" width="15.42578125" style="1" customWidth="1"/>
    <col min="204" max="448" width="8.7109375" style="1"/>
    <col min="449" max="449" width="13" style="1" customWidth="1"/>
    <col min="450" max="450" width="12.140625" style="1" customWidth="1"/>
    <col min="451" max="451" width="11.28515625" style="1" customWidth="1"/>
    <col min="452" max="452" width="37.140625" style="1" customWidth="1"/>
    <col min="453" max="453" width="0" style="1" hidden="1" customWidth="1"/>
    <col min="454" max="454" width="58.7109375" style="1" customWidth="1"/>
    <col min="455" max="457" width="16.7109375" style="1" customWidth="1"/>
    <col min="458" max="458" width="53.28515625" style="1" customWidth="1"/>
    <col min="459" max="459" width="15.42578125" style="1" customWidth="1"/>
    <col min="460" max="16384" width="8.7109375" style="1"/>
  </cols>
  <sheetData>
    <row r="1" spans="1:14" s="4" customFormat="1" ht="20.25" x14ac:dyDescent="0.25">
      <c r="B1" s="479" t="s">
        <v>428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</row>
    <row r="2" spans="1:14" s="4" customFormat="1" ht="30" customHeight="1" x14ac:dyDescent="0.25"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ht="23.25" customHeight="1" x14ac:dyDescent="0.3">
      <c r="M3" s="3" t="s">
        <v>0</v>
      </c>
    </row>
    <row r="4" spans="1:14" s="222" customFormat="1" ht="45" customHeight="1" x14ac:dyDescent="0.25">
      <c r="A4" s="481" t="s">
        <v>1</v>
      </c>
      <c r="B4" s="482" t="s">
        <v>2</v>
      </c>
      <c r="C4" s="482" t="s">
        <v>3</v>
      </c>
      <c r="D4" s="483" t="s">
        <v>4</v>
      </c>
      <c r="E4" s="483"/>
      <c r="F4" s="483" t="s">
        <v>283</v>
      </c>
      <c r="G4" s="483" t="s">
        <v>5</v>
      </c>
      <c r="H4" s="483"/>
      <c r="I4" s="483"/>
      <c r="J4" s="299"/>
      <c r="K4" s="483" t="s">
        <v>6</v>
      </c>
      <c r="L4" s="483"/>
      <c r="M4" s="483"/>
      <c r="N4" s="483"/>
    </row>
    <row r="5" spans="1:14" s="222" customFormat="1" ht="69" customHeight="1" x14ac:dyDescent="0.25">
      <c r="A5" s="481"/>
      <c r="B5" s="482"/>
      <c r="C5" s="482"/>
      <c r="D5" s="483"/>
      <c r="E5" s="483"/>
      <c r="F5" s="483"/>
      <c r="G5" s="299" t="s">
        <v>284</v>
      </c>
      <c r="H5" s="299" t="s">
        <v>285</v>
      </c>
      <c r="I5" s="299" t="s">
        <v>421</v>
      </c>
      <c r="J5" s="299" t="s">
        <v>286</v>
      </c>
      <c r="K5" s="299" t="s">
        <v>284</v>
      </c>
      <c r="L5" s="299" t="s">
        <v>285</v>
      </c>
      <c r="M5" s="299" t="s">
        <v>421</v>
      </c>
      <c r="N5" s="299" t="s">
        <v>286</v>
      </c>
    </row>
    <row r="6" spans="1:14" s="8" customFormat="1" ht="19.5" customHeight="1" x14ac:dyDescent="0.25">
      <c r="A6" s="7"/>
      <c r="B6" s="480" t="s">
        <v>7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</row>
    <row r="7" spans="1:14" s="10" customFormat="1" ht="42" customHeight="1" x14ac:dyDescent="0.25">
      <c r="A7" s="161" t="s">
        <v>8</v>
      </c>
      <c r="B7" s="162"/>
      <c r="C7" s="162"/>
      <c r="D7" s="163" t="s">
        <v>9</v>
      </c>
      <c r="E7" s="164"/>
      <c r="F7" s="165"/>
      <c r="G7" s="255"/>
      <c r="H7" s="255"/>
      <c r="I7" s="255"/>
      <c r="J7" s="255"/>
      <c r="K7" s="256"/>
      <c r="L7" s="256"/>
      <c r="M7" s="256"/>
      <c r="N7" s="256"/>
    </row>
    <row r="8" spans="1:14" s="10" customFormat="1" ht="38.25" customHeight="1" x14ac:dyDescent="0.25">
      <c r="A8" s="193" t="s">
        <v>10</v>
      </c>
      <c r="B8" s="194"/>
      <c r="C8" s="194"/>
      <c r="D8" s="156" t="s">
        <v>9</v>
      </c>
      <c r="E8" s="195"/>
      <c r="F8" s="9"/>
      <c r="G8" s="257"/>
      <c r="H8" s="257"/>
      <c r="I8" s="257"/>
      <c r="J8" s="257"/>
      <c r="K8" s="258"/>
      <c r="L8" s="258"/>
      <c r="M8" s="258"/>
      <c r="N8" s="258"/>
    </row>
    <row r="9" spans="1:14" s="15" customFormat="1" ht="83.45" customHeight="1" x14ac:dyDescent="0.25">
      <c r="A9" s="11"/>
      <c r="B9" s="11"/>
      <c r="C9" s="11"/>
      <c r="D9" s="12"/>
      <c r="E9" s="12"/>
      <c r="F9" s="219" t="s">
        <v>11</v>
      </c>
      <c r="G9" s="259">
        <f>G10+G11</f>
        <v>53.9</v>
      </c>
      <c r="H9" s="259">
        <f>H10+H11</f>
        <v>50</v>
      </c>
      <c r="I9" s="259">
        <f t="shared" ref="I9" si="0">I10+I11</f>
        <v>44.515000000000001</v>
      </c>
      <c r="J9" s="259">
        <f>I9/G9*100</f>
        <v>82.588126159554733</v>
      </c>
      <c r="K9" s="259">
        <f>K10+K11</f>
        <v>0</v>
      </c>
      <c r="L9" s="259">
        <f>L10+L11</f>
        <v>0</v>
      </c>
      <c r="M9" s="259">
        <f>M10+M11</f>
        <v>0</v>
      </c>
      <c r="N9" s="259"/>
    </row>
    <row r="10" spans="1:14" s="19" customFormat="1" ht="84" customHeight="1" x14ac:dyDescent="0.25">
      <c r="A10" s="11" t="s">
        <v>12</v>
      </c>
      <c r="B10" s="11" t="s">
        <v>13</v>
      </c>
      <c r="C10" s="11" t="s">
        <v>14</v>
      </c>
      <c r="D10" s="16" t="s">
        <v>15</v>
      </c>
      <c r="E10" s="17"/>
      <c r="F10" s="18" t="s">
        <v>16</v>
      </c>
      <c r="G10" s="260">
        <v>10</v>
      </c>
      <c r="H10" s="260">
        <v>6.1</v>
      </c>
      <c r="I10" s="260">
        <v>0.6</v>
      </c>
      <c r="J10" s="260"/>
      <c r="K10" s="260"/>
      <c r="L10" s="260"/>
      <c r="M10" s="260"/>
      <c r="N10" s="260"/>
    </row>
    <row r="11" spans="1:14" s="19" customFormat="1" ht="36" customHeight="1" x14ac:dyDescent="0.25">
      <c r="A11" s="11" t="s">
        <v>17</v>
      </c>
      <c r="B11" s="11" t="s">
        <v>18</v>
      </c>
      <c r="C11" s="11" t="s">
        <v>19</v>
      </c>
      <c r="D11" s="20" t="s">
        <v>20</v>
      </c>
      <c r="E11" s="17"/>
      <c r="F11" s="18"/>
      <c r="G11" s="260">
        <f>G12</f>
        <v>43.9</v>
      </c>
      <c r="H11" s="260">
        <f>H12</f>
        <v>43.9</v>
      </c>
      <c r="I11" s="260">
        <f t="shared" ref="I11" si="1">I12</f>
        <v>43.914999999999999</v>
      </c>
      <c r="J11" s="260"/>
      <c r="K11" s="260">
        <f>K12</f>
        <v>0</v>
      </c>
      <c r="L11" s="260"/>
      <c r="M11" s="260"/>
      <c r="N11" s="260"/>
    </row>
    <row r="12" spans="1:14" s="19" customFormat="1" ht="102.75" customHeight="1" x14ac:dyDescent="0.25">
      <c r="A12" s="21" t="s">
        <v>21</v>
      </c>
      <c r="B12" s="21" t="s">
        <v>22</v>
      </c>
      <c r="C12" s="21" t="s">
        <v>19</v>
      </c>
      <c r="D12" s="16" t="s">
        <v>23</v>
      </c>
      <c r="E12" s="17"/>
      <c r="F12" s="17" t="s">
        <v>24</v>
      </c>
      <c r="G12" s="260">
        <v>43.9</v>
      </c>
      <c r="H12" s="260">
        <v>43.9</v>
      </c>
      <c r="I12" s="260">
        <v>43.914999999999999</v>
      </c>
      <c r="J12" s="260"/>
      <c r="K12" s="260"/>
      <c r="L12" s="260"/>
      <c r="M12" s="260"/>
      <c r="N12" s="260"/>
    </row>
    <row r="13" spans="1:14" s="19" customFormat="1" ht="24" customHeight="1" x14ac:dyDescent="0.25">
      <c r="A13" s="11" t="s">
        <v>25</v>
      </c>
      <c r="B13" s="11" t="s">
        <v>26</v>
      </c>
      <c r="C13" s="11" t="s">
        <v>13</v>
      </c>
      <c r="D13" s="17" t="s">
        <v>27</v>
      </c>
      <c r="E13" s="17"/>
      <c r="F13" s="220"/>
      <c r="G13" s="259">
        <f>G14+G19</f>
        <v>118.89999999999999</v>
      </c>
      <c r="H13" s="259">
        <f>H14+H19</f>
        <v>106.7</v>
      </c>
      <c r="I13" s="259">
        <f>I14+I19</f>
        <v>77.099999999999994</v>
      </c>
      <c r="J13" s="259">
        <f>I13/G13*100</f>
        <v>64.844407064760304</v>
      </c>
      <c r="K13" s="259">
        <f>K14+K19</f>
        <v>0</v>
      </c>
      <c r="L13" s="259">
        <f>L14+L19</f>
        <v>0</v>
      </c>
      <c r="M13" s="259">
        <f>M14+M19</f>
        <v>0</v>
      </c>
      <c r="N13" s="259"/>
    </row>
    <row r="14" spans="1:14" s="19" customFormat="1" ht="85.5" customHeight="1" x14ac:dyDescent="0.25">
      <c r="A14" s="154" t="s">
        <v>28</v>
      </c>
      <c r="B14" s="21" t="s">
        <v>29</v>
      </c>
      <c r="C14" s="21" t="s">
        <v>30</v>
      </c>
      <c r="D14" s="17" t="s">
        <v>27</v>
      </c>
      <c r="E14" s="17"/>
      <c r="F14" s="22" t="s">
        <v>31</v>
      </c>
      <c r="G14" s="261">
        <f>G15+G16+G17+G18</f>
        <v>103.89999999999999</v>
      </c>
      <c r="H14" s="261">
        <f>H15+H16+H17+H18</f>
        <v>91.7</v>
      </c>
      <c r="I14" s="261">
        <f>I15+I16+I17+I18</f>
        <v>68.3</v>
      </c>
      <c r="J14" s="261"/>
      <c r="K14" s="261">
        <v>0</v>
      </c>
      <c r="L14" s="261"/>
      <c r="M14" s="261"/>
      <c r="N14" s="261"/>
    </row>
    <row r="15" spans="1:14" s="19" customFormat="1" ht="27.75" customHeight="1" x14ac:dyDescent="0.25">
      <c r="A15" s="154"/>
      <c r="B15" s="21"/>
      <c r="C15" s="21"/>
      <c r="D15" s="17"/>
      <c r="E15" s="17"/>
      <c r="F15" s="17" t="s">
        <v>296</v>
      </c>
      <c r="G15" s="261">
        <v>41.9</v>
      </c>
      <c r="H15" s="261">
        <v>29.7</v>
      </c>
      <c r="I15" s="261">
        <v>28.8</v>
      </c>
      <c r="J15" s="261"/>
      <c r="K15" s="261"/>
      <c r="L15" s="261"/>
      <c r="M15" s="261"/>
      <c r="N15" s="261"/>
    </row>
    <row r="16" spans="1:14" s="19" customFormat="1" ht="36" customHeight="1" x14ac:dyDescent="0.25">
      <c r="A16" s="154"/>
      <c r="B16" s="21"/>
      <c r="C16" s="21"/>
      <c r="D16" s="17"/>
      <c r="E16" s="17"/>
      <c r="F16" s="17" t="s">
        <v>297</v>
      </c>
      <c r="G16" s="261">
        <v>24.2</v>
      </c>
      <c r="H16" s="261">
        <v>24.2</v>
      </c>
      <c r="I16" s="261">
        <v>2</v>
      </c>
      <c r="J16" s="261"/>
      <c r="K16" s="261"/>
      <c r="L16" s="261"/>
      <c r="M16" s="261"/>
      <c r="N16" s="261"/>
    </row>
    <row r="17" spans="1:14" s="19" customFormat="1" ht="25.5" customHeight="1" x14ac:dyDescent="0.25">
      <c r="A17" s="154"/>
      <c r="B17" s="21"/>
      <c r="C17" s="21"/>
      <c r="D17" s="17"/>
      <c r="E17" s="17"/>
      <c r="F17" s="17" t="s">
        <v>298</v>
      </c>
      <c r="G17" s="261">
        <v>15</v>
      </c>
      <c r="H17" s="261">
        <v>15</v>
      </c>
      <c r="I17" s="261">
        <v>14.7</v>
      </c>
      <c r="J17" s="261"/>
      <c r="K17" s="261"/>
      <c r="L17" s="261"/>
      <c r="M17" s="261"/>
      <c r="N17" s="261"/>
    </row>
    <row r="18" spans="1:14" s="19" customFormat="1" ht="28.5" customHeight="1" x14ac:dyDescent="0.25">
      <c r="A18" s="154"/>
      <c r="B18" s="21"/>
      <c r="C18" s="21"/>
      <c r="D18" s="17"/>
      <c r="E18" s="17"/>
      <c r="F18" s="17" t="s">
        <v>299</v>
      </c>
      <c r="G18" s="260">
        <v>22.8</v>
      </c>
      <c r="H18" s="260">
        <v>22.8</v>
      </c>
      <c r="I18" s="260">
        <v>22.8</v>
      </c>
      <c r="J18" s="261"/>
      <c r="K18" s="261"/>
      <c r="L18" s="261"/>
      <c r="M18" s="261"/>
      <c r="N18" s="261"/>
    </row>
    <row r="19" spans="1:14" s="19" customFormat="1" ht="71.25" customHeight="1" x14ac:dyDescent="0.25">
      <c r="A19" s="11" t="s">
        <v>32</v>
      </c>
      <c r="B19" s="21" t="s">
        <v>33</v>
      </c>
      <c r="C19" s="21" t="s">
        <v>30</v>
      </c>
      <c r="D19" s="17" t="s">
        <v>27</v>
      </c>
      <c r="E19" s="17"/>
      <c r="F19" s="23" t="s">
        <v>425</v>
      </c>
      <c r="G19" s="261">
        <f>5+10</f>
        <v>15</v>
      </c>
      <c r="H19" s="261">
        <v>15</v>
      </c>
      <c r="I19" s="261">
        <v>8.8000000000000007</v>
      </c>
      <c r="J19" s="261">
        <f>I19/G19*100</f>
        <v>58.666666666666664</v>
      </c>
      <c r="K19" s="261">
        <v>0</v>
      </c>
      <c r="L19" s="261"/>
      <c r="M19" s="261"/>
      <c r="N19" s="261"/>
    </row>
    <row r="20" spans="1:14" s="19" customFormat="1" ht="7.5" hidden="1" customHeight="1" x14ac:dyDescent="0.25">
      <c r="A20" s="24"/>
      <c r="B20" s="24"/>
      <c r="C20" s="24"/>
      <c r="D20" s="25"/>
      <c r="E20" s="25"/>
      <c r="F20" s="26"/>
      <c r="G20" s="260"/>
      <c r="H20" s="260"/>
      <c r="I20" s="260"/>
      <c r="J20" s="260"/>
      <c r="K20" s="260"/>
      <c r="L20" s="260"/>
      <c r="M20" s="260"/>
      <c r="N20" s="260"/>
    </row>
    <row r="21" spans="1:14" s="19" customFormat="1" ht="87.75" customHeight="1" x14ac:dyDescent="0.25">
      <c r="A21" s="21" t="s">
        <v>35</v>
      </c>
      <c r="B21" s="21" t="s">
        <v>36</v>
      </c>
      <c r="C21" s="21" t="s">
        <v>37</v>
      </c>
      <c r="D21" s="16" t="s">
        <v>197</v>
      </c>
      <c r="E21" s="28"/>
      <c r="F21" s="20" t="s">
        <v>38</v>
      </c>
      <c r="G21" s="260"/>
      <c r="H21" s="260"/>
      <c r="I21" s="260"/>
      <c r="J21" s="260"/>
      <c r="K21" s="261">
        <v>112</v>
      </c>
      <c r="L21" s="261">
        <f>24+88</f>
        <v>112</v>
      </c>
      <c r="M21" s="261">
        <f>12.2688</f>
        <v>12.268800000000001</v>
      </c>
      <c r="N21" s="261">
        <f>M21/K21*100</f>
        <v>10.954285714285716</v>
      </c>
    </row>
    <row r="22" spans="1:14" s="32" customFormat="1" ht="21" customHeight="1" x14ac:dyDescent="0.25">
      <c r="A22" s="29"/>
      <c r="B22" s="30"/>
      <c r="C22" s="30"/>
      <c r="D22" s="197" t="s">
        <v>39</v>
      </c>
      <c r="E22" s="197"/>
      <c r="F22" s="198"/>
      <c r="G22" s="262">
        <f>G13+G9+G21</f>
        <v>172.79999999999998</v>
      </c>
      <c r="H22" s="262">
        <f>H13+H9+H21</f>
        <v>156.69999999999999</v>
      </c>
      <c r="I22" s="262">
        <f>I13+I9+I21</f>
        <v>121.61499999999999</v>
      </c>
      <c r="J22" s="262">
        <f>I22/G22*100</f>
        <v>70.379050925925938</v>
      </c>
      <c r="K22" s="262">
        <f>K13+K9+K21</f>
        <v>112</v>
      </c>
      <c r="L22" s="262">
        <f>L13+L9+L21</f>
        <v>112</v>
      </c>
      <c r="M22" s="262">
        <f>M13+M9+M21</f>
        <v>12.268800000000001</v>
      </c>
      <c r="N22" s="259">
        <f>M22/K22*100</f>
        <v>10.954285714285716</v>
      </c>
    </row>
    <row r="23" spans="1:14" s="37" customFormat="1" ht="39.75" customHeight="1" x14ac:dyDescent="0.2">
      <c r="A23" s="166" t="s">
        <v>40</v>
      </c>
      <c r="B23" s="167"/>
      <c r="C23" s="167"/>
      <c r="D23" s="163" t="s">
        <v>41</v>
      </c>
      <c r="E23" s="168"/>
      <c r="F23" s="168"/>
      <c r="G23" s="263"/>
      <c r="H23" s="263"/>
      <c r="I23" s="263"/>
      <c r="J23" s="263"/>
      <c r="K23" s="263"/>
      <c r="L23" s="263"/>
      <c r="M23" s="263"/>
      <c r="N23" s="263"/>
    </row>
    <row r="24" spans="1:14" s="39" customFormat="1" ht="46.5" customHeight="1" x14ac:dyDescent="0.2">
      <c r="A24" s="33" t="s">
        <v>42</v>
      </c>
      <c r="B24" s="34"/>
      <c r="C24" s="34"/>
      <c r="D24" s="156" t="s">
        <v>41</v>
      </c>
      <c r="E24" s="35"/>
      <c r="F24" s="35"/>
      <c r="G24" s="264"/>
      <c r="H24" s="264"/>
      <c r="I24" s="264"/>
      <c r="J24" s="264"/>
      <c r="K24" s="264"/>
      <c r="L24" s="264"/>
      <c r="M24" s="264"/>
      <c r="N24" s="264"/>
    </row>
    <row r="25" spans="1:14" s="39" customFormat="1" ht="30" customHeight="1" x14ac:dyDescent="0.2">
      <c r="A25" s="33" t="s">
        <v>43</v>
      </c>
      <c r="B25" s="34" t="s">
        <v>44</v>
      </c>
      <c r="C25" s="34" t="s">
        <v>45</v>
      </c>
      <c r="D25" s="68" t="s">
        <v>46</v>
      </c>
      <c r="E25" s="35"/>
      <c r="F25" s="206" t="s">
        <v>39</v>
      </c>
      <c r="G25" s="262">
        <f>G27+G26</f>
        <v>209.5</v>
      </c>
      <c r="H25" s="262">
        <f>H27+H26</f>
        <v>143.5</v>
      </c>
      <c r="I25" s="262">
        <f>I27+I26</f>
        <v>62.899999999999991</v>
      </c>
      <c r="J25" s="262">
        <f>I25/G25*100</f>
        <v>30.023866348448685</v>
      </c>
      <c r="K25" s="262">
        <f>K27</f>
        <v>0</v>
      </c>
      <c r="L25" s="262"/>
      <c r="M25" s="262"/>
      <c r="N25" s="262"/>
    </row>
    <row r="26" spans="1:14" s="39" customFormat="1" ht="112.5" x14ac:dyDescent="0.2">
      <c r="A26" s="33"/>
      <c r="B26" s="34" t="s">
        <v>98</v>
      </c>
      <c r="C26" s="34"/>
      <c r="D26" s="45" t="s">
        <v>100</v>
      </c>
      <c r="E26" s="35"/>
      <c r="F26" s="254" t="s">
        <v>371</v>
      </c>
      <c r="G26" s="264">
        <v>37.5</v>
      </c>
      <c r="H26" s="264">
        <v>37.5</v>
      </c>
      <c r="I26" s="264">
        <v>0</v>
      </c>
      <c r="J26" s="264">
        <f t="shared" ref="J26:J27" si="2">I26/G26*100</f>
        <v>0</v>
      </c>
      <c r="K26" s="264"/>
      <c r="L26" s="264"/>
      <c r="M26" s="264"/>
      <c r="N26" s="264"/>
    </row>
    <row r="27" spans="1:14" s="15" customFormat="1" ht="55.5" customHeight="1" x14ac:dyDescent="0.25">
      <c r="A27" s="29"/>
      <c r="B27" s="21" t="s">
        <v>47</v>
      </c>
      <c r="C27" s="21" t="s">
        <v>45</v>
      </c>
      <c r="D27" s="40" t="s">
        <v>46</v>
      </c>
      <c r="E27" s="41"/>
      <c r="F27" s="13" t="s">
        <v>48</v>
      </c>
      <c r="G27" s="261">
        <f>G28+G29+G30+G31+G32</f>
        <v>172</v>
      </c>
      <c r="H27" s="261">
        <f t="shared" ref="H27:I27" si="3">H28+H29+H30+H31+H32</f>
        <v>106</v>
      </c>
      <c r="I27" s="261">
        <f t="shared" si="3"/>
        <v>62.899999999999991</v>
      </c>
      <c r="J27" s="264">
        <f t="shared" si="2"/>
        <v>36.569767441860463</v>
      </c>
      <c r="K27" s="261">
        <f>K28+K29+K31+K32</f>
        <v>0</v>
      </c>
      <c r="L27" s="261"/>
      <c r="M27" s="261"/>
      <c r="N27" s="261"/>
    </row>
    <row r="28" spans="1:14" s="15" customFormat="1" ht="27.75" customHeight="1" x14ac:dyDescent="0.25">
      <c r="A28" s="42"/>
      <c r="B28" s="21"/>
      <c r="C28" s="21"/>
      <c r="D28" s="43"/>
      <c r="E28" s="41"/>
      <c r="F28" s="43" t="s">
        <v>287</v>
      </c>
      <c r="G28" s="260">
        <v>33.799999999999997</v>
      </c>
      <c r="H28" s="260">
        <v>23.8</v>
      </c>
      <c r="I28" s="260">
        <v>13.3</v>
      </c>
      <c r="J28" s="260"/>
      <c r="K28" s="260"/>
      <c r="L28" s="260"/>
      <c r="M28" s="260"/>
      <c r="N28" s="260"/>
    </row>
    <row r="29" spans="1:14" s="46" customFormat="1" ht="69.75" customHeight="1" x14ac:dyDescent="0.25">
      <c r="A29" s="24"/>
      <c r="B29" s="24"/>
      <c r="C29" s="24"/>
      <c r="D29" s="44"/>
      <c r="E29" s="44"/>
      <c r="F29" s="45" t="s">
        <v>49</v>
      </c>
      <c r="G29" s="260">
        <v>72</v>
      </c>
      <c r="H29" s="260">
        <v>51</v>
      </c>
      <c r="I29" s="260">
        <v>38.799999999999997</v>
      </c>
      <c r="J29" s="260"/>
      <c r="K29" s="260"/>
      <c r="L29" s="260"/>
      <c r="M29" s="260"/>
      <c r="N29" s="260"/>
    </row>
    <row r="30" spans="1:14" s="46" customFormat="1" ht="20.25" customHeight="1" x14ac:dyDescent="0.25">
      <c r="A30" s="24"/>
      <c r="B30" s="24"/>
      <c r="C30" s="24"/>
      <c r="D30" s="44"/>
      <c r="E30" s="44"/>
      <c r="F30" s="45" t="s">
        <v>288</v>
      </c>
      <c r="G30" s="260">
        <v>15</v>
      </c>
      <c r="H30" s="260">
        <v>0</v>
      </c>
      <c r="I30" s="260">
        <v>0</v>
      </c>
      <c r="J30" s="260"/>
      <c r="K30" s="260"/>
      <c r="L30" s="260"/>
      <c r="M30" s="260"/>
      <c r="N30" s="260"/>
    </row>
    <row r="31" spans="1:14" s="15" customFormat="1" ht="35.25" customHeight="1" x14ac:dyDescent="0.25">
      <c r="A31" s="29"/>
      <c r="B31" s="30"/>
      <c r="C31" s="30"/>
      <c r="D31" s="47"/>
      <c r="E31" s="47"/>
      <c r="F31" s="43" t="s">
        <v>289</v>
      </c>
      <c r="G31" s="260">
        <v>31.2</v>
      </c>
      <c r="H31" s="260">
        <v>11.2</v>
      </c>
      <c r="I31" s="260">
        <v>5.8</v>
      </c>
      <c r="J31" s="260"/>
      <c r="K31" s="261"/>
      <c r="L31" s="261"/>
      <c r="M31" s="261"/>
      <c r="N31" s="261"/>
    </row>
    <row r="32" spans="1:14" s="15" customFormat="1" ht="20.25" customHeight="1" x14ac:dyDescent="0.25">
      <c r="A32" s="48"/>
      <c r="B32" s="49"/>
      <c r="C32" s="49"/>
      <c r="D32" s="47"/>
      <c r="E32" s="47"/>
      <c r="F32" s="43" t="s">
        <v>325</v>
      </c>
      <c r="G32" s="260">
        <v>20</v>
      </c>
      <c r="H32" s="260">
        <v>20</v>
      </c>
      <c r="I32" s="260">
        <v>5</v>
      </c>
      <c r="J32" s="260"/>
      <c r="K32" s="261"/>
      <c r="L32" s="261"/>
      <c r="M32" s="261"/>
      <c r="N32" s="261"/>
    </row>
    <row r="33" spans="1:14" s="51" customFormat="1" ht="58.5" customHeight="1" x14ac:dyDescent="0.25">
      <c r="A33" s="169">
        <v>1100000</v>
      </c>
      <c r="B33" s="170"/>
      <c r="C33" s="170"/>
      <c r="D33" s="171" t="s">
        <v>51</v>
      </c>
      <c r="E33" s="172"/>
      <c r="F33" s="173"/>
      <c r="G33" s="265"/>
      <c r="H33" s="265"/>
      <c r="I33" s="265"/>
      <c r="J33" s="265"/>
      <c r="K33" s="266"/>
      <c r="L33" s="266"/>
      <c r="M33" s="266"/>
      <c r="N33" s="266"/>
    </row>
    <row r="34" spans="1:14" s="53" customFormat="1" ht="60.75" customHeight="1" x14ac:dyDescent="0.25">
      <c r="A34" s="169">
        <v>1110000</v>
      </c>
      <c r="B34" s="170"/>
      <c r="C34" s="170"/>
      <c r="D34" s="174" t="s">
        <v>51</v>
      </c>
      <c r="E34" s="172"/>
      <c r="F34" s="173"/>
      <c r="G34" s="265"/>
      <c r="H34" s="265"/>
      <c r="I34" s="265"/>
      <c r="J34" s="265"/>
      <c r="K34" s="266"/>
      <c r="L34" s="266"/>
      <c r="M34" s="266"/>
      <c r="N34" s="266"/>
    </row>
    <row r="35" spans="1:14" s="51" customFormat="1" ht="53.25" customHeight="1" x14ac:dyDescent="0.25">
      <c r="A35" s="48">
        <v>1113132</v>
      </c>
      <c r="B35" s="21" t="s">
        <v>52</v>
      </c>
      <c r="C35" s="21" t="s">
        <v>53</v>
      </c>
      <c r="D35" s="28" t="s">
        <v>54</v>
      </c>
      <c r="E35" s="54"/>
      <c r="F35" s="13" t="s">
        <v>409</v>
      </c>
      <c r="G35" s="261">
        <f>G36</f>
        <v>1.5</v>
      </c>
      <c r="H35" s="261">
        <f>H36</f>
        <v>1.5</v>
      </c>
      <c r="I35" s="261">
        <f>I36</f>
        <v>1.5</v>
      </c>
      <c r="J35" s="261">
        <f>I35/G35*100</f>
        <v>100</v>
      </c>
      <c r="K35" s="261">
        <f>K36</f>
        <v>0</v>
      </c>
      <c r="L35" s="261"/>
      <c r="M35" s="261"/>
      <c r="N35" s="261"/>
    </row>
    <row r="36" spans="1:14" s="51" customFormat="1" ht="32.25" customHeight="1" x14ac:dyDescent="0.25">
      <c r="A36" s="42"/>
      <c r="B36" s="21"/>
      <c r="C36" s="21"/>
      <c r="D36" s="43"/>
      <c r="E36" s="54"/>
      <c r="F36" s="43" t="s">
        <v>411</v>
      </c>
      <c r="G36" s="260">
        <v>1.5</v>
      </c>
      <c r="H36" s="260">
        <v>1.5</v>
      </c>
      <c r="I36" s="260">
        <v>1.5</v>
      </c>
      <c r="J36" s="260"/>
      <c r="K36" s="260"/>
      <c r="L36" s="260"/>
      <c r="M36" s="260"/>
      <c r="N36" s="260"/>
    </row>
    <row r="37" spans="1:14" s="56" customFormat="1" ht="24.75" customHeight="1" x14ac:dyDescent="0.25">
      <c r="A37" s="24"/>
      <c r="B37" s="24"/>
      <c r="C37" s="24"/>
      <c r="D37" s="197" t="s">
        <v>50</v>
      </c>
      <c r="E37" s="199"/>
      <c r="F37" s="200"/>
      <c r="G37" s="262">
        <f>G35</f>
        <v>1.5</v>
      </c>
      <c r="H37" s="262">
        <f>H35</f>
        <v>1.5</v>
      </c>
      <c r="I37" s="262">
        <f t="shared" ref="I37:J37" si="4">I35</f>
        <v>1.5</v>
      </c>
      <c r="J37" s="262">
        <f t="shared" si="4"/>
        <v>100</v>
      </c>
      <c r="K37" s="262">
        <f>K35</f>
        <v>0</v>
      </c>
      <c r="L37" s="262"/>
      <c r="M37" s="262"/>
      <c r="N37" s="262"/>
    </row>
    <row r="38" spans="1:14" s="19" customFormat="1" ht="78" customHeight="1" x14ac:dyDescent="0.25">
      <c r="A38" s="176" t="s">
        <v>57</v>
      </c>
      <c r="B38" s="177"/>
      <c r="C38" s="177"/>
      <c r="D38" s="163" t="s">
        <v>407</v>
      </c>
      <c r="E38" s="178"/>
      <c r="F38" s="179"/>
      <c r="G38" s="267"/>
      <c r="H38" s="267"/>
      <c r="I38" s="267"/>
      <c r="J38" s="267"/>
      <c r="K38" s="267"/>
      <c r="L38" s="267"/>
      <c r="M38" s="267"/>
      <c r="N38" s="267"/>
    </row>
    <row r="39" spans="1:14" s="19" customFormat="1" ht="84.75" customHeight="1" x14ac:dyDescent="0.25">
      <c r="A39" s="176" t="s">
        <v>59</v>
      </c>
      <c r="B39" s="177"/>
      <c r="C39" s="177"/>
      <c r="D39" s="175" t="s">
        <v>407</v>
      </c>
      <c r="E39" s="178"/>
      <c r="F39" s="179"/>
      <c r="G39" s="267"/>
      <c r="H39" s="267"/>
      <c r="I39" s="267"/>
      <c r="J39" s="267"/>
      <c r="K39" s="267"/>
      <c r="L39" s="267"/>
      <c r="M39" s="267"/>
      <c r="N39" s="267"/>
    </row>
    <row r="40" spans="1:14" s="19" customFormat="1" ht="42" customHeight="1" x14ac:dyDescent="0.25">
      <c r="A40" s="49" t="s">
        <v>60</v>
      </c>
      <c r="B40" s="24" t="s">
        <v>61</v>
      </c>
      <c r="C40" s="24"/>
      <c r="D40" s="155" t="s">
        <v>62</v>
      </c>
      <c r="E40" s="57"/>
      <c r="F40" s="58"/>
      <c r="G40" s="261">
        <f>G41+G42+G46+G47+G48</f>
        <v>554.9</v>
      </c>
      <c r="H40" s="261">
        <f>H41+H42+H46+H47+H48</f>
        <v>519.20000000000005</v>
      </c>
      <c r="I40" s="261">
        <f>I41+I42+I46+I47+I48</f>
        <v>381</v>
      </c>
      <c r="J40" s="261">
        <f>I40/G40*100</f>
        <v>68.66102000360425</v>
      </c>
      <c r="K40" s="261">
        <f>K41+K42+K46+K47+K48</f>
        <v>0</v>
      </c>
      <c r="L40" s="261"/>
      <c r="M40" s="261"/>
      <c r="N40" s="261"/>
    </row>
    <row r="41" spans="1:14" s="19" customFormat="1" ht="83.25" customHeight="1" x14ac:dyDescent="0.25">
      <c r="A41" s="21" t="s">
        <v>63</v>
      </c>
      <c r="B41" s="21" t="s">
        <v>64</v>
      </c>
      <c r="C41" s="21" t="s">
        <v>65</v>
      </c>
      <c r="D41" s="16" t="s">
        <v>66</v>
      </c>
      <c r="E41" s="57"/>
      <c r="F41" s="59" t="s">
        <v>67</v>
      </c>
      <c r="G41" s="261">
        <v>149.5</v>
      </c>
      <c r="H41" s="261">
        <v>149.5</v>
      </c>
      <c r="I41" s="261">
        <v>103.4</v>
      </c>
      <c r="J41" s="261"/>
      <c r="K41" s="261"/>
      <c r="L41" s="261"/>
      <c r="M41" s="261"/>
      <c r="N41" s="261"/>
    </row>
    <row r="42" spans="1:14" s="19" customFormat="1" ht="40.5" customHeight="1" x14ac:dyDescent="0.25">
      <c r="A42" s="24" t="s">
        <v>68</v>
      </c>
      <c r="B42" s="24" t="s">
        <v>69</v>
      </c>
      <c r="C42" s="24" t="s">
        <v>70</v>
      </c>
      <c r="D42" s="16" t="s">
        <v>71</v>
      </c>
      <c r="E42" s="57"/>
      <c r="F42" s="59" t="s">
        <v>72</v>
      </c>
      <c r="G42" s="261">
        <f>G43+G44+G45</f>
        <v>75.400000000000006</v>
      </c>
      <c r="H42" s="261">
        <v>59.2</v>
      </c>
      <c r="I42" s="261">
        <v>10.3</v>
      </c>
      <c r="J42" s="261">
        <f>I42/G42*100</f>
        <v>13.660477453580903</v>
      </c>
      <c r="K42" s="261">
        <f>K43+K44+K45</f>
        <v>0</v>
      </c>
      <c r="L42" s="261"/>
      <c r="M42" s="261"/>
      <c r="N42" s="261"/>
    </row>
    <row r="43" spans="1:14" s="51" customFormat="1" ht="36" customHeight="1" x14ac:dyDescent="0.25">
      <c r="A43" s="21"/>
      <c r="B43" s="21"/>
      <c r="C43" s="21"/>
      <c r="D43" s="28"/>
      <c r="E43" s="28"/>
      <c r="F43" s="43" t="s">
        <v>73</v>
      </c>
      <c r="G43" s="260">
        <v>15</v>
      </c>
      <c r="H43" s="260">
        <v>9</v>
      </c>
      <c r="I43" s="260">
        <v>0</v>
      </c>
      <c r="J43" s="260"/>
      <c r="K43" s="260"/>
      <c r="L43" s="260"/>
      <c r="M43" s="260"/>
      <c r="N43" s="260"/>
    </row>
    <row r="44" spans="1:14" s="51" customFormat="1" ht="81.75" customHeight="1" x14ac:dyDescent="0.25">
      <c r="A44" s="42"/>
      <c r="B44" s="21"/>
      <c r="C44" s="21"/>
      <c r="D44" s="43"/>
      <c r="E44" s="28"/>
      <c r="F44" s="43" t="s">
        <v>412</v>
      </c>
      <c r="G44" s="260">
        <v>40</v>
      </c>
      <c r="H44" s="260">
        <v>40</v>
      </c>
      <c r="I44" s="260">
        <v>7.7</v>
      </c>
      <c r="J44" s="260"/>
      <c r="K44" s="260"/>
      <c r="L44" s="260"/>
      <c r="M44" s="260"/>
      <c r="N44" s="260"/>
    </row>
    <row r="45" spans="1:14" s="19" customFormat="1" ht="33" customHeight="1" x14ac:dyDescent="0.25">
      <c r="A45" s="24"/>
      <c r="B45" s="24"/>
      <c r="C45" s="24"/>
      <c r="D45" s="57"/>
      <c r="E45" s="57"/>
      <c r="F45" s="60" t="s">
        <v>75</v>
      </c>
      <c r="G45" s="260">
        <v>20.399999999999999</v>
      </c>
      <c r="H45" s="260">
        <v>10.199999999999999</v>
      </c>
      <c r="I45" s="260">
        <v>2.6</v>
      </c>
      <c r="J45" s="260"/>
      <c r="K45" s="260"/>
      <c r="L45" s="260"/>
      <c r="M45" s="260"/>
      <c r="N45" s="260"/>
    </row>
    <row r="46" spans="1:14" s="51" customFormat="1" ht="89.25" customHeight="1" x14ac:dyDescent="0.25">
      <c r="A46" s="21" t="s">
        <v>76</v>
      </c>
      <c r="B46" s="21" t="s">
        <v>77</v>
      </c>
      <c r="C46" s="21" t="s">
        <v>70</v>
      </c>
      <c r="D46" s="28" t="s">
        <v>78</v>
      </c>
      <c r="E46" s="28"/>
      <c r="F46" s="60" t="s">
        <v>79</v>
      </c>
      <c r="G46" s="261">
        <v>30</v>
      </c>
      <c r="H46" s="261">
        <v>16.5</v>
      </c>
      <c r="I46" s="261">
        <v>9.6</v>
      </c>
      <c r="J46" s="261">
        <f t="shared" ref="J46:J54" si="5">I46/G46*100</f>
        <v>32</v>
      </c>
      <c r="K46" s="261">
        <v>0</v>
      </c>
      <c r="L46" s="261"/>
      <c r="M46" s="261"/>
      <c r="N46" s="261"/>
    </row>
    <row r="47" spans="1:14" s="51" customFormat="1" ht="78.75" customHeight="1" x14ac:dyDescent="0.25">
      <c r="A47" s="21" t="s">
        <v>80</v>
      </c>
      <c r="B47" s="21" t="s">
        <v>81</v>
      </c>
      <c r="C47" s="21" t="s">
        <v>70</v>
      </c>
      <c r="D47" s="28" t="s">
        <v>82</v>
      </c>
      <c r="E47" s="28"/>
      <c r="F47" s="59" t="s">
        <v>83</v>
      </c>
      <c r="G47" s="261">
        <v>150</v>
      </c>
      <c r="H47" s="261">
        <v>150</v>
      </c>
      <c r="I47" s="261">
        <v>113.7</v>
      </c>
      <c r="J47" s="261">
        <f t="shared" si="5"/>
        <v>75.8</v>
      </c>
      <c r="K47" s="261"/>
      <c r="L47" s="261"/>
      <c r="M47" s="261"/>
      <c r="N47" s="261"/>
    </row>
    <row r="48" spans="1:14" s="19" customFormat="1" ht="71.25" customHeight="1" x14ac:dyDescent="0.25">
      <c r="A48" s="21" t="s">
        <v>84</v>
      </c>
      <c r="B48" s="21" t="s">
        <v>85</v>
      </c>
      <c r="C48" s="21" t="s">
        <v>70</v>
      </c>
      <c r="D48" s="28" t="s">
        <v>86</v>
      </c>
      <c r="E48" s="57"/>
      <c r="F48" s="61" t="s">
        <v>87</v>
      </c>
      <c r="G48" s="261">
        <v>150</v>
      </c>
      <c r="H48" s="261">
        <v>144</v>
      </c>
      <c r="I48" s="261">
        <v>144</v>
      </c>
      <c r="J48" s="261">
        <f t="shared" si="5"/>
        <v>96</v>
      </c>
      <c r="K48" s="261"/>
      <c r="L48" s="261"/>
      <c r="M48" s="261"/>
      <c r="N48" s="261"/>
    </row>
    <row r="49" spans="1:14" s="19" customFormat="1" ht="33.75" customHeight="1" x14ac:dyDescent="0.25">
      <c r="A49" s="207" t="s">
        <v>88</v>
      </c>
      <c r="B49" s="207" t="s">
        <v>89</v>
      </c>
      <c r="C49" s="207" t="s">
        <v>70</v>
      </c>
      <c r="D49" s="208" t="s">
        <v>90</v>
      </c>
      <c r="E49" s="203"/>
      <c r="F49" s="209"/>
      <c r="G49" s="268">
        <f>G50+G51+G52+G53</f>
        <v>487.7</v>
      </c>
      <c r="H49" s="268">
        <f>H50+H51+H52+H53</f>
        <v>246</v>
      </c>
      <c r="I49" s="268">
        <f>I50+I51+I52+I53</f>
        <v>177.79999999999998</v>
      </c>
      <c r="J49" s="268">
        <f t="shared" si="5"/>
        <v>36.456838220217342</v>
      </c>
      <c r="K49" s="268">
        <f>K50+K51+K52+K53</f>
        <v>0</v>
      </c>
      <c r="L49" s="268"/>
      <c r="M49" s="268"/>
      <c r="N49" s="268"/>
    </row>
    <row r="50" spans="1:14" s="19" customFormat="1" ht="55.5" customHeight="1" x14ac:dyDescent="0.25">
      <c r="A50" s="21" t="s">
        <v>91</v>
      </c>
      <c r="B50" s="42">
        <v>2221</v>
      </c>
      <c r="C50" s="21" t="s">
        <v>70</v>
      </c>
      <c r="D50" s="28"/>
      <c r="E50" s="28"/>
      <c r="F50" s="13" t="s">
        <v>280</v>
      </c>
      <c r="G50" s="261">
        <v>130</v>
      </c>
      <c r="H50" s="261">
        <v>65.5</v>
      </c>
      <c r="I50" s="261">
        <v>44.3</v>
      </c>
      <c r="J50" s="261">
        <f t="shared" si="5"/>
        <v>34.07692307692308</v>
      </c>
      <c r="K50" s="260"/>
      <c r="L50" s="260"/>
      <c r="M50" s="260"/>
      <c r="N50" s="260"/>
    </row>
    <row r="51" spans="1:14" s="19" customFormat="1" ht="105" customHeight="1" x14ac:dyDescent="0.25">
      <c r="A51" s="21" t="s">
        <v>92</v>
      </c>
      <c r="B51" s="42">
        <v>2222</v>
      </c>
      <c r="C51" s="21" t="s">
        <v>70</v>
      </c>
      <c r="D51" s="28"/>
      <c r="E51" s="28"/>
      <c r="F51" s="62" t="s">
        <v>93</v>
      </c>
      <c r="G51" s="261">
        <v>72</v>
      </c>
      <c r="H51" s="261">
        <v>36</v>
      </c>
      <c r="I51" s="261">
        <v>17.2</v>
      </c>
      <c r="J51" s="261">
        <f t="shared" si="5"/>
        <v>23.888888888888886</v>
      </c>
      <c r="K51" s="261"/>
      <c r="L51" s="261"/>
      <c r="M51" s="261"/>
      <c r="N51" s="261"/>
    </row>
    <row r="52" spans="1:14" s="19" customFormat="1" ht="86.25" customHeight="1" x14ac:dyDescent="0.25">
      <c r="A52" s="21" t="s">
        <v>94</v>
      </c>
      <c r="B52" s="42">
        <v>2223</v>
      </c>
      <c r="C52" s="21" t="s">
        <v>70</v>
      </c>
      <c r="D52" s="28"/>
      <c r="E52" s="28"/>
      <c r="F52" s="43" t="s">
        <v>95</v>
      </c>
      <c r="G52" s="261">
        <v>226</v>
      </c>
      <c r="H52" s="261">
        <v>114.5</v>
      </c>
      <c r="I52" s="261">
        <v>87.7</v>
      </c>
      <c r="J52" s="261">
        <f t="shared" si="5"/>
        <v>38.80530973451328</v>
      </c>
      <c r="K52" s="261"/>
      <c r="L52" s="261"/>
      <c r="M52" s="261"/>
      <c r="N52" s="261"/>
    </row>
    <row r="53" spans="1:14" s="51" customFormat="1" ht="69.75" customHeight="1" x14ac:dyDescent="0.25">
      <c r="A53" s="42">
        <v>1512224</v>
      </c>
      <c r="B53" s="21" t="s">
        <v>96</v>
      </c>
      <c r="C53" s="21" t="s">
        <v>70</v>
      </c>
      <c r="D53" s="16"/>
      <c r="E53" s="28"/>
      <c r="F53" s="13" t="s">
        <v>97</v>
      </c>
      <c r="G53" s="261">
        <v>59.7</v>
      </c>
      <c r="H53" s="261">
        <v>30</v>
      </c>
      <c r="I53" s="261">
        <v>28.6</v>
      </c>
      <c r="J53" s="261">
        <f t="shared" si="5"/>
        <v>47.906197654941373</v>
      </c>
      <c r="K53" s="261"/>
      <c r="L53" s="261"/>
      <c r="M53" s="261"/>
      <c r="N53" s="261"/>
    </row>
    <row r="54" spans="1:14" s="64" customFormat="1" ht="85.5" customHeight="1" x14ac:dyDescent="0.25">
      <c r="A54" s="42">
        <v>1513240</v>
      </c>
      <c r="B54" s="21" t="s">
        <v>98</v>
      </c>
      <c r="C54" s="21" t="s">
        <v>99</v>
      </c>
      <c r="D54" s="45" t="s">
        <v>100</v>
      </c>
      <c r="E54" s="63" t="s">
        <v>100</v>
      </c>
      <c r="F54" s="45" t="s">
        <v>101</v>
      </c>
      <c r="G54" s="261">
        <f>50+23.5</f>
        <v>73.5</v>
      </c>
      <c r="H54" s="261">
        <v>39.1</v>
      </c>
      <c r="I54" s="261">
        <v>37.6</v>
      </c>
      <c r="J54" s="261">
        <f t="shared" si="5"/>
        <v>51.156462585034014</v>
      </c>
      <c r="K54" s="261"/>
      <c r="L54" s="261"/>
      <c r="M54" s="261"/>
      <c r="N54" s="261"/>
    </row>
    <row r="55" spans="1:14" s="65" customFormat="1" ht="36" customHeight="1" x14ac:dyDescent="0.25">
      <c r="A55" s="48">
        <v>1513190</v>
      </c>
      <c r="B55" s="49" t="s">
        <v>102</v>
      </c>
      <c r="C55" s="49" t="s">
        <v>103</v>
      </c>
      <c r="D55" s="47"/>
      <c r="E55" s="47"/>
      <c r="F55" s="13" t="s">
        <v>281</v>
      </c>
      <c r="G55" s="261">
        <f>G56+G57+G60</f>
        <v>384.5</v>
      </c>
      <c r="H55" s="261">
        <f>H56+H57+H60</f>
        <v>191.1</v>
      </c>
      <c r="I55" s="261">
        <f>I56+I57+I60</f>
        <v>52.9</v>
      </c>
      <c r="J55" s="261">
        <f t="shared" ref="J55:N55" si="6">J56+J57+J60</f>
        <v>0</v>
      </c>
      <c r="K55" s="261">
        <f t="shared" si="6"/>
        <v>500</v>
      </c>
      <c r="L55" s="261">
        <f t="shared" si="6"/>
        <v>0</v>
      </c>
      <c r="M55" s="261">
        <f t="shared" si="6"/>
        <v>0</v>
      </c>
      <c r="N55" s="261">
        <f t="shared" si="6"/>
        <v>0</v>
      </c>
    </row>
    <row r="56" spans="1:14" s="65" customFormat="1" ht="115.5" customHeight="1" x14ac:dyDescent="0.25">
      <c r="A56" s="42">
        <v>1513190</v>
      </c>
      <c r="B56" s="21" t="s">
        <v>102</v>
      </c>
      <c r="C56" s="21" t="s">
        <v>103</v>
      </c>
      <c r="D56" s="16" t="s">
        <v>104</v>
      </c>
      <c r="E56" s="47"/>
      <c r="F56" s="43" t="s">
        <v>300</v>
      </c>
      <c r="G56" s="260">
        <v>150</v>
      </c>
      <c r="H56" s="260">
        <v>75</v>
      </c>
      <c r="I56" s="260">
        <v>15</v>
      </c>
      <c r="J56" s="260"/>
      <c r="K56" s="260"/>
      <c r="L56" s="260"/>
      <c r="M56" s="260"/>
      <c r="N56" s="260"/>
    </row>
    <row r="57" spans="1:14" s="65" customFormat="1" ht="37.5" customHeight="1" x14ac:dyDescent="0.25">
      <c r="A57" s="42">
        <v>1513200</v>
      </c>
      <c r="B57" s="21" t="s">
        <v>105</v>
      </c>
      <c r="C57" s="21"/>
      <c r="D57" s="68" t="s">
        <v>106</v>
      </c>
      <c r="E57" s="47"/>
      <c r="F57" s="43"/>
      <c r="G57" s="260">
        <f>G58+G59</f>
        <v>234.5</v>
      </c>
      <c r="H57" s="260">
        <f>H58+H59</f>
        <v>116.1</v>
      </c>
      <c r="I57" s="260">
        <f>I58+I59</f>
        <v>37.9</v>
      </c>
      <c r="J57" s="260"/>
      <c r="K57" s="260">
        <f>K58+K59</f>
        <v>0</v>
      </c>
      <c r="L57" s="260"/>
      <c r="M57" s="260"/>
      <c r="N57" s="260"/>
    </row>
    <row r="58" spans="1:14" s="65" customFormat="1" ht="133.5" customHeight="1" x14ac:dyDescent="0.25">
      <c r="A58" s="42">
        <v>1513201</v>
      </c>
      <c r="B58" s="21" t="s">
        <v>107</v>
      </c>
      <c r="C58" s="21" t="s">
        <v>108</v>
      </c>
      <c r="D58" s="16" t="s">
        <v>109</v>
      </c>
      <c r="E58" s="13"/>
      <c r="F58" s="43" t="s">
        <v>110</v>
      </c>
      <c r="G58" s="260">
        <v>200</v>
      </c>
      <c r="H58" s="260">
        <v>98</v>
      </c>
      <c r="I58" s="260">
        <v>22</v>
      </c>
      <c r="J58" s="260"/>
      <c r="K58" s="260"/>
      <c r="L58" s="260"/>
      <c r="M58" s="260"/>
      <c r="N58" s="260"/>
    </row>
    <row r="59" spans="1:14" s="10" customFormat="1" ht="65.25" customHeight="1" x14ac:dyDescent="0.25">
      <c r="A59" s="42">
        <v>1513202</v>
      </c>
      <c r="B59" s="42">
        <v>3202</v>
      </c>
      <c r="C59" s="42">
        <v>1030</v>
      </c>
      <c r="D59" s="16" t="s">
        <v>111</v>
      </c>
      <c r="E59" s="66"/>
      <c r="F59" s="43" t="s">
        <v>112</v>
      </c>
      <c r="G59" s="260">
        <v>34.5</v>
      </c>
      <c r="H59" s="260">
        <v>18.100000000000001</v>
      </c>
      <c r="I59" s="260">
        <v>15.9</v>
      </c>
      <c r="J59" s="260"/>
      <c r="K59" s="260"/>
      <c r="L59" s="260"/>
      <c r="M59" s="260"/>
      <c r="N59" s="260"/>
    </row>
    <row r="60" spans="1:14" s="10" customFormat="1" ht="101.25" customHeight="1" x14ac:dyDescent="0.3">
      <c r="A60" s="233" t="s">
        <v>359</v>
      </c>
      <c r="B60" s="233" t="s">
        <v>360</v>
      </c>
      <c r="C60" s="233" t="s">
        <v>103</v>
      </c>
      <c r="D60" s="238" t="s">
        <v>361</v>
      </c>
      <c r="E60" s="66"/>
      <c r="F60" s="43" t="s">
        <v>358</v>
      </c>
      <c r="G60" s="260">
        <v>0</v>
      </c>
      <c r="H60" s="260">
        <v>0</v>
      </c>
      <c r="I60" s="260">
        <v>0</v>
      </c>
      <c r="J60" s="260"/>
      <c r="K60" s="260">
        <v>500</v>
      </c>
      <c r="L60" s="260">
        <v>0</v>
      </c>
      <c r="M60" s="260">
        <v>0</v>
      </c>
      <c r="N60" s="260"/>
    </row>
    <row r="61" spans="1:14" s="65" customFormat="1" ht="38.25" customHeight="1" x14ac:dyDescent="0.25">
      <c r="A61" s="21"/>
      <c r="B61" s="21"/>
      <c r="C61" s="21"/>
      <c r="D61" s="43"/>
      <c r="E61" s="43"/>
      <c r="F61" s="43" t="s">
        <v>113</v>
      </c>
      <c r="G61" s="261">
        <f>G62+G68+G70+G71+G74</f>
        <v>4982.2999999999993</v>
      </c>
      <c r="H61" s="261">
        <f>H62+H68+H70+H71+H74</f>
        <v>2123.6999999999998</v>
      </c>
      <c r="I61" s="261">
        <f>I62+I68+I70+I71+I74</f>
        <v>1523.3</v>
      </c>
      <c r="J61" s="261"/>
      <c r="K61" s="261"/>
      <c r="L61" s="261"/>
      <c r="M61" s="261"/>
      <c r="N61" s="261"/>
    </row>
    <row r="62" spans="1:14" s="65" customFormat="1" ht="275.25" customHeight="1" x14ac:dyDescent="0.25">
      <c r="A62" s="11" t="s">
        <v>114</v>
      </c>
      <c r="B62" s="11" t="s">
        <v>115</v>
      </c>
      <c r="C62" s="11" t="s">
        <v>108</v>
      </c>
      <c r="D62" s="67" t="s">
        <v>116</v>
      </c>
      <c r="E62" s="156" t="s">
        <v>116</v>
      </c>
      <c r="F62" s="43"/>
      <c r="G62" s="261">
        <f>G66+G67+G63+G64+G65</f>
        <v>1735.1</v>
      </c>
      <c r="H62" s="261">
        <f>H66+H67+H63+H64+H65</f>
        <v>835.8</v>
      </c>
      <c r="I62" s="261">
        <f>I66+I67+I63+I64+I65</f>
        <v>599.29999999999995</v>
      </c>
      <c r="J62" s="261"/>
      <c r="K62" s="261"/>
      <c r="L62" s="261"/>
      <c r="M62" s="261"/>
      <c r="N62" s="261"/>
    </row>
    <row r="63" spans="1:14" s="228" customFormat="1" ht="54" customHeight="1" x14ac:dyDescent="0.25">
      <c r="A63" s="42">
        <v>1513031</v>
      </c>
      <c r="B63" s="21" t="s">
        <v>326</v>
      </c>
      <c r="C63" s="21"/>
      <c r="D63" s="28"/>
      <c r="E63" s="47"/>
      <c r="F63" s="43" t="s">
        <v>329</v>
      </c>
      <c r="G63" s="260">
        <v>75</v>
      </c>
      <c r="H63" s="260">
        <v>0</v>
      </c>
      <c r="I63" s="260">
        <v>0</v>
      </c>
      <c r="J63" s="260"/>
      <c r="K63" s="260"/>
      <c r="L63" s="260"/>
      <c r="M63" s="260"/>
      <c r="N63" s="260"/>
    </row>
    <row r="64" spans="1:14" s="228" customFormat="1" ht="54" customHeight="1" x14ac:dyDescent="0.25">
      <c r="A64" s="42">
        <v>1513033</v>
      </c>
      <c r="B64" s="21" t="s">
        <v>327</v>
      </c>
      <c r="C64" s="21"/>
      <c r="D64" s="28"/>
      <c r="E64" s="47"/>
      <c r="F64" s="43" t="s">
        <v>330</v>
      </c>
      <c r="G64" s="260">
        <v>36</v>
      </c>
      <c r="H64" s="260">
        <v>16.5</v>
      </c>
      <c r="I64" s="260">
        <v>6.8</v>
      </c>
      <c r="J64" s="260"/>
      <c r="K64" s="260"/>
      <c r="L64" s="260"/>
      <c r="M64" s="260"/>
      <c r="N64" s="260"/>
    </row>
    <row r="65" spans="1:14" s="228" customFormat="1" ht="54" customHeight="1" x14ac:dyDescent="0.25">
      <c r="A65" s="42">
        <v>1513034</v>
      </c>
      <c r="B65" s="21" t="s">
        <v>328</v>
      </c>
      <c r="C65" s="21"/>
      <c r="D65" s="28"/>
      <c r="E65" s="47"/>
      <c r="F65" s="43" t="s">
        <v>331</v>
      </c>
      <c r="G65" s="260">
        <v>244.1</v>
      </c>
      <c r="H65" s="260">
        <v>200.3</v>
      </c>
      <c r="I65" s="260">
        <v>173.1</v>
      </c>
      <c r="J65" s="260"/>
      <c r="K65" s="260"/>
      <c r="L65" s="260"/>
      <c r="M65" s="260"/>
      <c r="N65" s="260"/>
    </row>
    <row r="66" spans="1:14" s="228" customFormat="1" ht="54" customHeight="1" x14ac:dyDescent="0.25">
      <c r="A66" s="42">
        <v>1513035</v>
      </c>
      <c r="B66" s="21" t="s">
        <v>117</v>
      </c>
      <c r="C66" s="21" t="s">
        <v>118</v>
      </c>
      <c r="D66" s="28" t="s">
        <v>119</v>
      </c>
      <c r="E66" s="47"/>
      <c r="F66" s="43" t="s">
        <v>120</v>
      </c>
      <c r="G66" s="260">
        <v>1350</v>
      </c>
      <c r="H66" s="260">
        <v>596.29999999999995</v>
      </c>
      <c r="I66" s="260">
        <v>400.4</v>
      </c>
      <c r="J66" s="260"/>
      <c r="K66" s="260"/>
      <c r="L66" s="260"/>
      <c r="M66" s="260"/>
      <c r="N66" s="260"/>
    </row>
    <row r="67" spans="1:14" s="228" customFormat="1" ht="54" customHeight="1" x14ac:dyDescent="0.25">
      <c r="A67" s="42">
        <v>1513037</v>
      </c>
      <c r="B67" s="21" t="s">
        <v>121</v>
      </c>
      <c r="C67" s="21" t="s">
        <v>118</v>
      </c>
      <c r="D67" s="28" t="s">
        <v>122</v>
      </c>
      <c r="E67" s="47"/>
      <c r="F67" s="43" t="s">
        <v>123</v>
      </c>
      <c r="G67" s="260">
        <v>30</v>
      </c>
      <c r="H67" s="260">
        <v>22.7</v>
      </c>
      <c r="I67" s="260">
        <v>19</v>
      </c>
      <c r="J67" s="260"/>
      <c r="K67" s="260"/>
      <c r="L67" s="260"/>
      <c r="M67" s="260"/>
      <c r="N67" s="260"/>
    </row>
    <row r="68" spans="1:14" s="65" customFormat="1" ht="120.75" customHeight="1" x14ac:dyDescent="0.25">
      <c r="A68" s="42">
        <v>1513180</v>
      </c>
      <c r="B68" s="21" t="s">
        <v>127</v>
      </c>
      <c r="C68" s="21"/>
      <c r="D68" s="67" t="s">
        <v>125</v>
      </c>
      <c r="E68" s="47"/>
      <c r="F68" s="43"/>
      <c r="G68" s="260">
        <f>G69</f>
        <v>200</v>
      </c>
      <c r="H68" s="260">
        <v>98</v>
      </c>
      <c r="I68" s="260">
        <v>68.8</v>
      </c>
      <c r="J68" s="260"/>
      <c r="K68" s="260">
        <f>K69</f>
        <v>0</v>
      </c>
      <c r="L68" s="260"/>
      <c r="M68" s="260"/>
      <c r="N68" s="260"/>
    </row>
    <row r="69" spans="1:14" s="10" customFormat="1" ht="101.25" customHeight="1" x14ac:dyDescent="0.25">
      <c r="A69" s="21" t="s">
        <v>126</v>
      </c>
      <c r="B69" s="21" t="s">
        <v>127</v>
      </c>
      <c r="C69" s="21" t="s">
        <v>128</v>
      </c>
      <c r="D69" s="43" t="s">
        <v>129</v>
      </c>
      <c r="E69" s="44"/>
      <c r="F69" s="45" t="s">
        <v>130</v>
      </c>
      <c r="G69" s="260">
        <v>200</v>
      </c>
      <c r="H69" s="260">
        <v>98</v>
      </c>
      <c r="I69" s="260">
        <v>68.8</v>
      </c>
      <c r="J69" s="260"/>
      <c r="K69" s="260"/>
      <c r="L69" s="260"/>
      <c r="M69" s="260"/>
      <c r="N69" s="260"/>
    </row>
    <row r="70" spans="1:14" s="64" customFormat="1" ht="114" customHeight="1" x14ac:dyDescent="0.25">
      <c r="A70" s="21" t="s">
        <v>131</v>
      </c>
      <c r="B70" s="21" t="s">
        <v>102</v>
      </c>
      <c r="C70" s="21" t="s">
        <v>103</v>
      </c>
      <c r="D70" s="16" t="s">
        <v>104</v>
      </c>
      <c r="E70" s="44"/>
      <c r="F70" s="45" t="s">
        <v>132</v>
      </c>
      <c r="G70" s="260">
        <v>116</v>
      </c>
      <c r="H70" s="260">
        <v>43.4</v>
      </c>
      <c r="I70" s="260">
        <v>18.2</v>
      </c>
      <c r="J70" s="260"/>
      <c r="K70" s="260"/>
      <c r="L70" s="260"/>
      <c r="M70" s="260"/>
      <c r="N70" s="260"/>
    </row>
    <row r="71" spans="1:14" s="64" customFormat="1" ht="38.25" customHeight="1" x14ac:dyDescent="0.25">
      <c r="A71" s="21" t="s">
        <v>133</v>
      </c>
      <c r="B71" s="21" t="s">
        <v>105</v>
      </c>
      <c r="C71" s="21"/>
      <c r="D71" s="68" t="s">
        <v>106</v>
      </c>
      <c r="E71" s="44"/>
      <c r="F71" s="45"/>
      <c r="G71" s="260">
        <f>G72+G73</f>
        <v>1130.0999999999999</v>
      </c>
      <c r="H71" s="260">
        <f>H72+H73</f>
        <v>226.9</v>
      </c>
      <c r="I71" s="260">
        <f>I72+I73</f>
        <v>186.5</v>
      </c>
      <c r="J71" s="260"/>
      <c r="K71" s="260">
        <f>K72+K73</f>
        <v>0</v>
      </c>
      <c r="L71" s="260"/>
      <c r="M71" s="260"/>
      <c r="N71" s="260"/>
    </row>
    <row r="72" spans="1:14" s="64" customFormat="1" ht="113.25" customHeight="1" x14ac:dyDescent="0.25">
      <c r="A72" s="21" t="s">
        <v>134</v>
      </c>
      <c r="B72" s="21" t="s">
        <v>107</v>
      </c>
      <c r="C72" s="21" t="s">
        <v>108</v>
      </c>
      <c r="D72" s="16" t="s">
        <v>109</v>
      </c>
      <c r="E72" s="44"/>
      <c r="F72" s="88" t="s">
        <v>135</v>
      </c>
      <c r="G72" s="260">
        <v>974</v>
      </c>
      <c r="H72" s="260">
        <v>135.5</v>
      </c>
      <c r="I72" s="260">
        <v>110.1</v>
      </c>
      <c r="J72" s="260"/>
      <c r="K72" s="260"/>
      <c r="L72" s="260"/>
      <c r="M72" s="260"/>
      <c r="N72" s="260"/>
    </row>
    <row r="73" spans="1:14" s="10" customFormat="1" ht="78" customHeight="1" x14ac:dyDescent="0.25">
      <c r="A73" s="24" t="s">
        <v>136</v>
      </c>
      <c r="B73" s="21" t="s">
        <v>137</v>
      </c>
      <c r="C73" s="21" t="s">
        <v>108</v>
      </c>
      <c r="D73" s="43" t="s">
        <v>111</v>
      </c>
      <c r="E73" s="44"/>
      <c r="F73" s="43" t="s">
        <v>138</v>
      </c>
      <c r="G73" s="260">
        <v>156.1</v>
      </c>
      <c r="H73" s="260">
        <v>91.4</v>
      </c>
      <c r="I73" s="260">
        <v>76.400000000000006</v>
      </c>
      <c r="J73" s="260"/>
      <c r="K73" s="260"/>
      <c r="L73" s="260"/>
      <c r="M73" s="260"/>
      <c r="N73" s="260"/>
    </row>
    <row r="74" spans="1:14" s="10" customFormat="1" ht="40.5" customHeight="1" x14ac:dyDescent="0.25">
      <c r="A74" s="24" t="s">
        <v>139</v>
      </c>
      <c r="B74" s="21" t="s">
        <v>140</v>
      </c>
      <c r="C74" s="21" t="s">
        <v>141</v>
      </c>
      <c r="D74" s="68" t="s">
        <v>142</v>
      </c>
      <c r="E74" s="44"/>
      <c r="F74" s="43"/>
      <c r="G74" s="260">
        <f>G75</f>
        <v>1801.1</v>
      </c>
      <c r="H74" s="260">
        <f>H75</f>
        <v>919.6</v>
      </c>
      <c r="I74" s="260">
        <f>I75</f>
        <v>650.5</v>
      </c>
      <c r="J74" s="260"/>
      <c r="K74" s="260">
        <f>K75</f>
        <v>0</v>
      </c>
      <c r="L74" s="260"/>
      <c r="M74" s="260"/>
      <c r="N74" s="260"/>
    </row>
    <row r="75" spans="1:14" s="65" customFormat="1" ht="191.25" customHeight="1" x14ac:dyDescent="0.25">
      <c r="A75" s="21" t="s">
        <v>143</v>
      </c>
      <c r="B75" s="21" t="s">
        <v>144</v>
      </c>
      <c r="C75" s="21" t="s">
        <v>141</v>
      </c>
      <c r="D75" s="16" t="s">
        <v>142</v>
      </c>
      <c r="E75" s="43"/>
      <c r="F75" s="43" t="s">
        <v>145</v>
      </c>
      <c r="G75" s="260">
        <v>1801.1</v>
      </c>
      <c r="H75" s="260">
        <v>919.6</v>
      </c>
      <c r="I75" s="260">
        <v>650.5</v>
      </c>
      <c r="J75" s="260"/>
      <c r="K75" s="260"/>
      <c r="L75" s="260"/>
      <c r="M75" s="260"/>
      <c r="N75" s="260"/>
    </row>
    <row r="76" spans="1:14" s="65" customFormat="1" ht="74.25" customHeight="1" x14ac:dyDescent="0.25">
      <c r="A76" s="21" t="s">
        <v>406</v>
      </c>
      <c r="B76" s="21" t="s">
        <v>52</v>
      </c>
      <c r="C76" s="21" t="s">
        <v>53</v>
      </c>
      <c r="D76" s="16" t="s">
        <v>54</v>
      </c>
      <c r="E76" s="43"/>
      <c r="F76" s="43" t="s">
        <v>410</v>
      </c>
      <c r="G76" s="260">
        <v>8.5</v>
      </c>
      <c r="H76" s="260">
        <v>6.9</v>
      </c>
      <c r="I76" s="260">
        <v>3.9</v>
      </c>
      <c r="J76" s="260"/>
      <c r="K76" s="260"/>
      <c r="L76" s="260"/>
      <c r="M76" s="260"/>
      <c r="N76" s="260"/>
    </row>
    <row r="77" spans="1:14" s="65" customFormat="1" ht="101.25" customHeight="1" x14ac:dyDescent="0.3">
      <c r="A77" s="234" t="s">
        <v>349</v>
      </c>
      <c r="B77" s="233" t="s">
        <v>348</v>
      </c>
      <c r="C77" s="233" t="s">
        <v>141</v>
      </c>
      <c r="D77" s="235" t="s">
        <v>142</v>
      </c>
      <c r="E77" s="43"/>
      <c r="F77" s="13" t="s">
        <v>347</v>
      </c>
      <c r="G77" s="260">
        <v>25</v>
      </c>
      <c r="H77" s="260">
        <v>25</v>
      </c>
      <c r="I77" s="260">
        <v>25</v>
      </c>
      <c r="J77" s="260"/>
      <c r="K77" s="260"/>
      <c r="L77" s="260"/>
      <c r="M77" s="260"/>
      <c r="N77" s="260"/>
    </row>
    <row r="78" spans="1:14" s="10" customFormat="1" ht="27.75" customHeight="1" x14ac:dyDescent="0.25">
      <c r="A78" s="50"/>
      <c r="B78" s="34"/>
      <c r="C78" s="34"/>
      <c r="D78" s="197" t="s">
        <v>50</v>
      </c>
      <c r="E78" s="201"/>
      <c r="F78" s="202"/>
      <c r="G78" s="262">
        <f>G40+G49+G54+G55+G61+G77+G76</f>
        <v>6516.4</v>
      </c>
      <c r="H78" s="262">
        <f>H40+H49+H54+H55+H61+H77+H76</f>
        <v>3151</v>
      </c>
      <c r="I78" s="262">
        <f>I40+I49+I54+I55+I61+I77+I76</f>
        <v>2201.5</v>
      </c>
      <c r="J78" s="262">
        <f t="shared" ref="J78:N78" si="7">J40+J49+J54+J55+J61+J77</f>
        <v>156.27432080885561</v>
      </c>
      <c r="K78" s="262">
        <f t="shared" si="7"/>
        <v>500</v>
      </c>
      <c r="L78" s="262">
        <f t="shared" si="7"/>
        <v>0</v>
      </c>
      <c r="M78" s="262">
        <f t="shared" si="7"/>
        <v>0</v>
      </c>
      <c r="N78" s="262">
        <f t="shared" si="7"/>
        <v>0</v>
      </c>
    </row>
    <row r="79" spans="1:14" s="10" customFormat="1" ht="43.5" customHeight="1" x14ac:dyDescent="0.25">
      <c r="A79" s="180">
        <v>2000000</v>
      </c>
      <c r="B79" s="167"/>
      <c r="C79" s="167"/>
      <c r="D79" s="181" t="s">
        <v>146</v>
      </c>
      <c r="E79" s="182"/>
      <c r="F79" s="165"/>
      <c r="G79" s="265"/>
      <c r="H79" s="265"/>
      <c r="I79" s="265"/>
      <c r="J79" s="265"/>
      <c r="K79" s="265"/>
      <c r="L79" s="265"/>
      <c r="M79" s="265"/>
      <c r="N79" s="265"/>
    </row>
    <row r="80" spans="1:14" s="71" customFormat="1" ht="43.5" customHeight="1" x14ac:dyDescent="0.25">
      <c r="A80" s="180">
        <v>2010000</v>
      </c>
      <c r="B80" s="167"/>
      <c r="C80" s="167"/>
      <c r="D80" s="183" t="s">
        <v>146</v>
      </c>
      <c r="E80" s="182"/>
      <c r="F80" s="165"/>
      <c r="G80" s="265"/>
      <c r="H80" s="265"/>
      <c r="I80" s="265"/>
      <c r="J80" s="265"/>
      <c r="K80" s="265"/>
      <c r="L80" s="265"/>
      <c r="M80" s="265"/>
      <c r="N80" s="265"/>
    </row>
    <row r="81" spans="1:14" s="71" customFormat="1" ht="43.5" customHeight="1" x14ac:dyDescent="0.25">
      <c r="A81" s="11" t="s">
        <v>147</v>
      </c>
      <c r="B81" s="11" t="s">
        <v>148</v>
      </c>
      <c r="C81" s="34"/>
      <c r="D81" s="156" t="s">
        <v>149</v>
      </c>
      <c r="E81" s="69"/>
      <c r="F81" s="9"/>
      <c r="G81" s="261">
        <f>G82</f>
        <v>5</v>
      </c>
      <c r="H81" s="261">
        <f>H82</f>
        <v>1</v>
      </c>
      <c r="I81" s="261">
        <f>I82</f>
        <v>0</v>
      </c>
      <c r="J81" s="261"/>
      <c r="K81" s="261">
        <f>K82</f>
        <v>0</v>
      </c>
      <c r="L81" s="261"/>
      <c r="M81" s="261"/>
      <c r="N81" s="261"/>
    </row>
    <row r="82" spans="1:14" s="10" customFormat="1" ht="66" customHeight="1" x14ac:dyDescent="0.25">
      <c r="A82" s="42">
        <v>2013112</v>
      </c>
      <c r="B82" s="21" t="s">
        <v>150</v>
      </c>
      <c r="C82" s="49" t="s">
        <v>53</v>
      </c>
      <c r="D82" s="72" t="s">
        <v>151</v>
      </c>
      <c r="E82" s="69"/>
      <c r="F82" s="62" t="s">
        <v>282</v>
      </c>
      <c r="G82" s="261">
        <v>5</v>
      </c>
      <c r="H82" s="261">
        <v>1</v>
      </c>
      <c r="I82" s="261"/>
      <c r="J82" s="261"/>
      <c r="K82" s="261"/>
      <c r="L82" s="261"/>
      <c r="M82" s="261"/>
      <c r="N82" s="261"/>
    </row>
    <row r="83" spans="1:14" s="73" customFormat="1" ht="35.25" customHeight="1" x14ac:dyDescent="0.25">
      <c r="A83" s="48"/>
      <c r="B83" s="49"/>
      <c r="C83" s="49"/>
      <c r="D83" s="197" t="s">
        <v>50</v>
      </c>
      <c r="E83" s="197"/>
      <c r="F83" s="198"/>
      <c r="G83" s="262">
        <f>G81</f>
        <v>5</v>
      </c>
      <c r="H83" s="262">
        <f>H81</f>
        <v>1</v>
      </c>
      <c r="I83" s="262">
        <f>I81</f>
        <v>0</v>
      </c>
      <c r="J83" s="262">
        <f>I83/G83*100</f>
        <v>0</v>
      </c>
      <c r="K83" s="262">
        <f>K81</f>
        <v>0</v>
      </c>
      <c r="L83" s="262"/>
      <c r="M83" s="262"/>
      <c r="N83" s="262"/>
    </row>
    <row r="84" spans="1:14" s="65" customFormat="1" ht="58.5" customHeight="1" x14ac:dyDescent="0.25">
      <c r="A84" s="169">
        <v>2400000</v>
      </c>
      <c r="B84" s="176"/>
      <c r="C84" s="176"/>
      <c r="D84" s="171" t="s">
        <v>152</v>
      </c>
      <c r="E84" s="184"/>
      <c r="F84" s="173"/>
      <c r="G84" s="265"/>
      <c r="H84" s="265"/>
      <c r="I84" s="265"/>
      <c r="J84" s="265"/>
      <c r="K84" s="265"/>
      <c r="L84" s="265"/>
      <c r="M84" s="265"/>
      <c r="N84" s="265"/>
    </row>
    <row r="85" spans="1:14" s="65" customFormat="1" ht="60.75" customHeight="1" x14ac:dyDescent="0.25">
      <c r="A85" s="169">
        <v>2410000</v>
      </c>
      <c r="B85" s="176"/>
      <c r="C85" s="176"/>
      <c r="D85" s="174" t="s">
        <v>152</v>
      </c>
      <c r="E85" s="184"/>
      <c r="F85" s="173"/>
      <c r="G85" s="265"/>
      <c r="H85" s="265"/>
      <c r="I85" s="265"/>
      <c r="J85" s="265"/>
      <c r="K85" s="265"/>
      <c r="L85" s="265"/>
      <c r="M85" s="265"/>
      <c r="N85" s="265"/>
    </row>
    <row r="86" spans="1:14" s="74" customFormat="1" ht="50.25" customHeight="1" x14ac:dyDescent="0.25">
      <c r="A86" s="42">
        <v>2413140</v>
      </c>
      <c r="B86" s="21" t="s">
        <v>153</v>
      </c>
      <c r="C86" s="21" t="s">
        <v>53</v>
      </c>
      <c r="D86" s="158" t="s">
        <v>251</v>
      </c>
      <c r="E86" s="28"/>
      <c r="F86" s="210" t="s">
        <v>154</v>
      </c>
      <c r="G86" s="270">
        <f>G87</f>
        <v>85</v>
      </c>
      <c r="H86" s="270">
        <f>H87</f>
        <v>20</v>
      </c>
      <c r="I86" s="270">
        <f>I87</f>
        <v>13.6</v>
      </c>
      <c r="J86" s="270">
        <f>I86/G86*100</f>
        <v>16</v>
      </c>
      <c r="K86" s="270">
        <f>SUM(K88:K90)</f>
        <v>0</v>
      </c>
      <c r="L86" s="270"/>
      <c r="M86" s="270"/>
      <c r="N86" s="270"/>
    </row>
    <row r="87" spans="1:14" s="74" customFormat="1" ht="85.5" customHeight="1" x14ac:dyDescent="0.3">
      <c r="A87" s="159" t="s">
        <v>249</v>
      </c>
      <c r="B87" s="159" t="s">
        <v>250</v>
      </c>
      <c r="C87" s="159" t="s">
        <v>53</v>
      </c>
      <c r="D87" s="158" t="s">
        <v>252</v>
      </c>
      <c r="E87" s="28"/>
      <c r="F87" s="43"/>
      <c r="G87" s="261">
        <f>SUM(G88:G90)</f>
        <v>85</v>
      </c>
      <c r="H87" s="261">
        <v>20</v>
      </c>
      <c r="I87" s="261">
        <f>SUM(I88:I90)</f>
        <v>13.6</v>
      </c>
      <c r="J87" s="261">
        <f>I87/G87*100</f>
        <v>16</v>
      </c>
      <c r="K87" s="261">
        <f t="shared" ref="K87" si="8">SUM(K88:K90)</f>
        <v>0</v>
      </c>
      <c r="L87" s="261"/>
      <c r="M87" s="261"/>
      <c r="N87" s="261"/>
    </row>
    <row r="88" spans="1:14" s="10" customFormat="1" ht="69" customHeight="1" x14ac:dyDescent="0.25">
      <c r="A88" s="24"/>
      <c r="B88" s="24"/>
      <c r="C88" s="24"/>
      <c r="D88" s="160" t="s">
        <v>178</v>
      </c>
      <c r="E88" s="57"/>
      <c r="F88" s="43" t="s">
        <v>155</v>
      </c>
      <c r="G88" s="260">
        <v>50</v>
      </c>
      <c r="H88" s="260">
        <v>20</v>
      </c>
      <c r="I88" s="260">
        <v>13.6</v>
      </c>
      <c r="J88" s="260"/>
      <c r="K88" s="261"/>
      <c r="L88" s="261"/>
      <c r="M88" s="261"/>
      <c r="N88" s="261"/>
    </row>
    <row r="89" spans="1:14" s="65" customFormat="1" ht="41.25" customHeight="1" x14ac:dyDescent="0.25">
      <c r="A89" s="21"/>
      <c r="B89" s="21"/>
      <c r="C89" s="21"/>
      <c r="D89" s="28"/>
      <c r="E89" s="28"/>
      <c r="F89" s="43" t="s">
        <v>156</v>
      </c>
      <c r="G89" s="260">
        <v>25</v>
      </c>
      <c r="H89" s="260">
        <v>0</v>
      </c>
      <c r="I89" s="260">
        <v>0</v>
      </c>
      <c r="J89" s="260"/>
      <c r="K89" s="261"/>
      <c r="L89" s="261"/>
      <c r="M89" s="261"/>
      <c r="N89" s="261"/>
    </row>
    <row r="90" spans="1:14" s="65" customFormat="1" ht="24.75" customHeight="1" x14ac:dyDescent="0.25">
      <c r="A90" s="21"/>
      <c r="B90" s="21"/>
      <c r="C90" s="21"/>
      <c r="D90" s="28"/>
      <c r="E90" s="28"/>
      <c r="F90" s="60" t="s">
        <v>157</v>
      </c>
      <c r="G90" s="260">
        <v>10</v>
      </c>
      <c r="H90" s="260">
        <v>0</v>
      </c>
      <c r="I90" s="260">
        <v>0</v>
      </c>
      <c r="J90" s="260"/>
      <c r="K90" s="260"/>
      <c r="L90" s="260"/>
      <c r="M90" s="260"/>
      <c r="N90" s="260"/>
    </row>
    <row r="91" spans="1:14" s="65" customFormat="1" ht="72.75" customHeight="1" x14ac:dyDescent="0.25">
      <c r="A91" s="21"/>
      <c r="B91" s="21"/>
      <c r="C91" s="21"/>
      <c r="D91" s="47"/>
      <c r="E91" s="47"/>
      <c r="F91" s="210" t="s">
        <v>158</v>
      </c>
      <c r="G91" s="270">
        <f>G92+G93+G96</f>
        <v>1117</v>
      </c>
      <c r="H91" s="270">
        <f>H92+H93+H96</f>
        <v>751.5</v>
      </c>
      <c r="I91" s="270">
        <f>I92+I93+I96</f>
        <v>529.4</v>
      </c>
      <c r="J91" s="270">
        <f>I91/G91*100</f>
        <v>47.394807520143239</v>
      </c>
      <c r="K91" s="270">
        <f>K92+K93+K96</f>
        <v>264</v>
      </c>
      <c r="L91" s="270">
        <f>L92+L93+L96</f>
        <v>264</v>
      </c>
      <c r="M91" s="270">
        <f>M92+M93+M96</f>
        <v>251.9</v>
      </c>
      <c r="N91" s="270">
        <f>M91/K91*100</f>
        <v>95.416666666666671</v>
      </c>
    </row>
    <row r="92" spans="1:14" s="65" customFormat="1" ht="117.75" customHeight="1" x14ac:dyDescent="0.25">
      <c r="A92" s="49" t="s">
        <v>159</v>
      </c>
      <c r="B92" s="21" t="s">
        <v>160</v>
      </c>
      <c r="C92" s="21" t="s">
        <v>161</v>
      </c>
      <c r="D92" s="28" t="s">
        <v>162</v>
      </c>
      <c r="E92" s="47"/>
      <c r="F92" s="43" t="s">
        <v>163</v>
      </c>
      <c r="G92" s="260">
        <v>617</v>
      </c>
      <c r="H92" s="260">
        <v>386.5</v>
      </c>
      <c r="I92" s="260">
        <v>348.2</v>
      </c>
      <c r="J92" s="260">
        <f>I92/G92*100</f>
        <v>56.434359805510539</v>
      </c>
      <c r="K92" s="261">
        <v>264</v>
      </c>
      <c r="L92" s="261">
        <v>264</v>
      </c>
      <c r="M92" s="261">
        <v>251.9</v>
      </c>
      <c r="N92" s="261"/>
    </row>
    <row r="93" spans="1:14" s="65" customFormat="1" ht="33.75" customHeight="1" x14ac:dyDescent="0.25">
      <c r="A93" s="11" t="s">
        <v>164</v>
      </c>
      <c r="B93" s="11" t="s">
        <v>165</v>
      </c>
      <c r="C93" s="21"/>
      <c r="D93" s="67" t="s">
        <v>166</v>
      </c>
      <c r="E93" s="212"/>
      <c r="F93" s="210"/>
      <c r="G93" s="271">
        <f>G94+G95</f>
        <v>300.2</v>
      </c>
      <c r="H93" s="271">
        <f>H94+H95</f>
        <v>191.3</v>
      </c>
      <c r="I93" s="271">
        <f>I94+I95</f>
        <v>131.6</v>
      </c>
      <c r="J93" s="271"/>
      <c r="K93" s="271">
        <f>K94+K95</f>
        <v>0</v>
      </c>
      <c r="L93" s="271"/>
      <c r="M93" s="271"/>
      <c r="N93" s="271"/>
    </row>
    <row r="94" spans="1:14" s="10" customFormat="1" ht="54.75" customHeight="1" x14ac:dyDescent="0.25">
      <c r="A94" s="42">
        <v>2415011</v>
      </c>
      <c r="B94" s="42">
        <v>5011</v>
      </c>
      <c r="C94" s="21" t="s">
        <v>167</v>
      </c>
      <c r="D94" s="67" t="s">
        <v>168</v>
      </c>
      <c r="E94" s="66"/>
      <c r="F94" s="43" t="s">
        <v>169</v>
      </c>
      <c r="G94" s="260">
        <v>173.2</v>
      </c>
      <c r="H94" s="260">
        <v>97.8</v>
      </c>
      <c r="I94" s="260">
        <v>68.099999999999994</v>
      </c>
      <c r="J94" s="260"/>
      <c r="K94" s="272"/>
      <c r="L94" s="272"/>
      <c r="M94" s="272"/>
      <c r="N94" s="272"/>
    </row>
    <row r="95" spans="1:14" s="65" customFormat="1" ht="56.25" customHeight="1" x14ac:dyDescent="0.25">
      <c r="A95" s="42">
        <v>2415012</v>
      </c>
      <c r="B95" s="21" t="s">
        <v>170</v>
      </c>
      <c r="C95" s="21" t="s">
        <v>167</v>
      </c>
      <c r="D95" s="43" t="s">
        <v>171</v>
      </c>
      <c r="E95" s="43" t="s">
        <v>171</v>
      </c>
      <c r="F95" s="43" t="s">
        <v>172</v>
      </c>
      <c r="G95" s="260">
        <v>127</v>
      </c>
      <c r="H95" s="260">
        <v>93.5</v>
      </c>
      <c r="I95" s="260">
        <v>63.5</v>
      </c>
      <c r="J95" s="260"/>
      <c r="K95" s="261"/>
      <c r="L95" s="261"/>
      <c r="M95" s="261"/>
      <c r="N95" s="261"/>
    </row>
    <row r="96" spans="1:14" s="74" customFormat="1" ht="44.25" customHeight="1" x14ac:dyDescent="0.25">
      <c r="A96" s="42">
        <v>2412060</v>
      </c>
      <c r="B96" s="21" t="s">
        <v>173</v>
      </c>
      <c r="C96" s="21" t="s">
        <v>167</v>
      </c>
      <c r="D96" s="67" t="s">
        <v>253</v>
      </c>
      <c r="E96" s="28"/>
      <c r="F96" s="210"/>
      <c r="G96" s="271">
        <f>G97</f>
        <v>199.8</v>
      </c>
      <c r="H96" s="271">
        <f>H97</f>
        <v>173.7</v>
      </c>
      <c r="I96" s="271">
        <f>I97</f>
        <v>49.6</v>
      </c>
      <c r="J96" s="271"/>
      <c r="K96" s="271"/>
      <c r="L96" s="271"/>
      <c r="M96" s="271"/>
      <c r="N96" s="271"/>
    </row>
    <row r="97" spans="1:14" s="74" customFormat="1" ht="166.5" customHeight="1" x14ac:dyDescent="0.25">
      <c r="A97" s="11" t="s">
        <v>255</v>
      </c>
      <c r="B97" s="11" t="s">
        <v>256</v>
      </c>
      <c r="C97" s="11" t="s">
        <v>167</v>
      </c>
      <c r="D97" s="67" t="s">
        <v>254</v>
      </c>
      <c r="E97" s="28"/>
      <c r="F97" s="43" t="s">
        <v>174</v>
      </c>
      <c r="G97" s="260">
        <v>199.8</v>
      </c>
      <c r="H97" s="260">
        <v>173.7</v>
      </c>
      <c r="I97" s="260">
        <v>49.6</v>
      </c>
      <c r="J97" s="260"/>
      <c r="K97" s="260"/>
      <c r="L97" s="260"/>
      <c r="M97" s="260"/>
      <c r="N97" s="260"/>
    </row>
    <row r="98" spans="1:14" s="74" customFormat="1" ht="42.75" customHeight="1" x14ac:dyDescent="0.25">
      <c r="A98" s="11"/>
      <c r="B98" s="11"/>
      <c r="C98" s="11"/>
      <c r="D98" s="67"/>
      <c r="E98" s="28"/>
      <c r="F98" s="13" t="s">
        <v>413</v>
      </c>
      <c r="G98" s="260">
        <f>G100+G99</f>
        <v>115</v>
      </c>
      <c r="H98" s="260">
        <f>H100+H99</f>
        <v>115</v>
      </c>
      <c r="I98" s="260">
        <f>I100+I99</f>
        <v>96.7</v>
      </c>
      <c r="J98" s="260">
        <f>I98/G98*100</f>
        <v>84.086956521739125</v>
      </c>
      <c r="K98" s="260"/>
      <c r="L98" s="260"/>
      <c r="M98" s="260"/>
      <c r="N98" s="260"/>
    </row>
    <row r="99" spans="1:14" s="228" customFormat="1" ht="78" customHeight="1" x14ac:dyDescent="0.25">
      <c r="A99" s="21" t="s">
        <v>398</v>
      </c>
      <c r="B99" s="21"/>
      <c r="C99" s="21" t="s">
        <v>161</v>
      </c>
      <c r="D99" s="28" t="s">
        <v>399</v>
      </c>
      <c r="E99" s="47"/>
      <c r="F99" s="43" t="s">
        <v>400</v>
      </c>
      <c r="G99" s="260">
        <v>100</v>
      </c>
      <c r="H99" s="260">
        <v>100</v>
      </c>
      <c r="I99" s="260">
        <v>96.7</v>
      </c>
      <c r="J99" s="260"/>
      <c r="K99" s="261"/>
      <c r="L99" s="261"/>
      <c r="M99" s="261"/>
      <c r="N99" s="261"/>
    </row>
    <row r="100" spans="1:14" s="74" customFormat="1" ht="42.75" customHeight="1" x14ac:dyDescent="0.25">
      <c r="A100" s="289" t="s">
        <v>414</v>
      </c>
      <c r="B100" s="289" t="s">
        <v>415</v>
      </c>
      <c r="C100" s="289" t="s">
        <v>416</v>
      </c>
      <c r="D100" s="293" t="s">
        <v>417</v>
      </c>
      <c r="E100" s="290"/>
      <c r="F100" s="291" t="s">
        <v>418</v>
      </c>
      <c r="G100" s="292">
        <v>15</v>
      </c>
      <c r="H100" s="292">
        <v>15</v>
      </c>
      <c r="I100" s="292">
        <v>0</v>
      </c>
      <c r="J100" s="260"/>
      <c r="K100" s="260"/>
      <c r="L100" s="260"/>
      <c r="M100" s="260"/>
      <c r="N100" s="260"/>
    </row>
    <row r="101" spans="1:14" s="10" customFormat="1" ht="23.25" customHeight="1" x14ac:dyDescent="0.25">
      <c r="A101" s="24"/>
      <c r="B101" s="77"/>
      <c r="C101" s="77"/>
      <c r="D101" s="197" t="s">
        <v>50</v>
      </c>
      <c r="E101" s="203"/>
      <c r="F101" s="196"/>
      <c r="G101" s="262">
        <f>G86+G91+G98</f>
        <v>1317</v>
      </c>
      <c r="H101" s="262">
        <f>H86+H91+H98</f>
        <v>886.5</v>
      </c>
      <c r="I101" s="262">
        <f>I86+I91+I98</f>
        <v>639.70000000000005</v>
      </c>
      <c r="J101" s="262">
        <f>I101/G101*100</f>
        <v>48.572513287775251</v>
      </c>
      <c r="K101" s="262">
        <f>K86+K91</f>
        <v>264</v>
      </c>
      <c r="L101" s="262">
        <f>L86+L91</f>
        <v>264</v>
      </c>
      <c r="M101" s="262">
        <f>M86+M91</f>
        <v>251.9</v>
      </c>
      <c r="N101" s="262"/>
    </row>
    <row r="102" spans="1:14" s="65" customFormat="1" ht="98.25" customHeight="1" x14ac:dyDescent="0.25">
      <c r="A102" s="169">
        <v>4000000</v>
      </c>
      <c r="B102" s="185"/>
      <c r="C102" s="185"/>
      <c r="D102" s="186" t="s">
        <v>408</v>
      </c>
      <c r="E102" s="172"/>
      <c r="F102" s="173"/>
      <c r="G102" s="265"/>
      <c r="H102" s="265"/>
      <c r="I102" s="265"/>
      <c r="J102" s="265"/>
      <c r="K102" s="265"/>
      <c r="L102" s="265"/>
      <c r="M102" s="265"/>
      <c r="N102" s="265"/>
    </row>
    <row r="103" spans="1:14" s="74" customFormat="1" ht="76.5" customHeight="1" x14ac:dyDescent="0.25">
      <c r="A103" s="187">
        <v>4010000</v>
      </c>
      <c r="B103" s="185"/>
      <c r="C103" s="185"/>
      <c r="D103" s="188" t="s">
        <v>408</v>
      </c>
      <c r="E103" s="172"/>
      <c r="F103" s="189"/>
      <c r="G103" s="267"/>
      <c r="H103" s="267"/>
      <c r="I103" s="267"/>
      <c r="J103" s="267"/>
      <c r="K103" s="267"/>
      <c r="L103" s="267"/>
      <c r="M103" s="267"/>
      <c r="N103" s="267"/>
    </row>
    <row r="104" spans="1:14" s="74" customFormat="1" ht="53.25" customHeight="1" x14ac:dyDescent="0.25">
      <c r="A104" s="42"/>
      <c r="B104" s="42"/>
      <c r="C104" s="42"/>
      <c r="D104" s="43"/>
      <c r="E104" s="41"/>
      <c r="F104" s="43" t="s">
        <v>176</v>
      </c>
      <c r="G104" s="261">
        <f>G105+G114+G116+G119+G134+G141</f>
        <v>20096.899999999998</v>
      </c>
      <c r="H104" s="261">
        <f>H105+H114+H116+H119+H134+H141</f>
        <v>12471.910999999998</v>
      </c>
      <c r="I104" s="261">
        <f>I105+I114+I116+I119+I134+I141</f>
        <v>10228.900000000001</v>
      </c>
      <c r="J104" s="261">
        <f>I104/G104*100</f>
        <v>50.897899676069457</v>
      </c>
      <c r="K104" s="261">
        <f>K105+K114+K116+K119+K134+K141</f>
        <v>8622.9920000000002</v>
      </c>
      <c r="L104" s="261">
        <f>L105+L114+L116+L119+L134+L141</f>
        <v>5559.9920000000002</v>
      </c>
      <c r="M104" s="261">
        <f>M105+M114+M116+M119+M134+M141</f>
        <v>2346.5929199999996</v>
      </c>
      <c r="N104" s="261">
        <f>M104/K104*100</f>
        <v>27.213209985582726</v>
      </c>
    </row>
    <row r="105" spans="1:14" s="74" customFormat="1" ht="81" customHeight="1" x14ac:dyDescent="0.25">
      <c r="A105" s="42">
        <v>4016010</v>
      </c>
      <c r="B105" s="42">
        <v>6010</v>
      </c>
      <c r="C105" s="42">
        <v>610</v>
      </c>
      <c r="D105" s="43" t="s">
        <v>177</v>
      </c>
      <c r="E105" s="41"/>
      <c r="F105" s="43"/>
      <c r="G105" s="261">
        <f>G106+G107+G108+G109+G110+G112+G113</f>
        <v>3084.7</v>
      </c>
      <c r="H105" s="261">
        <f>H106+H107+H108+H109+H110+H112+H113</f>
        <v>2636.7</v>
      </c>
      <c r="I105" s="261">
        <f>I106+I107+I108+I109+I110+I112+I113</f>
        <v>2583.5000000000005</v>
      </c>
      <c r="J105" s="261">
        <f t="shared" ref="J105" si="9">SUM(J106:J118)</f>
        <v>0</v>
      </c>
      <c r="K105" s="260"/>
      <c r="L105" s="260"/>
      <c r="M105" s="260"/>
      <c r="N105" s="260"/>
    </row>
    <row r="106" spans="1:14" s="74" customFormat="1" ht="108.75" customHeight="1" x14ac:dyDescent="0.25">
      <c r="A106" s="42"/>
      <c r="B106" s="42"/>
      <c r="C106" s="42"/>
      <c r="D106" s="80" t="s">
        <v>178</v>
      </c>
      <c r="E106" s="41"/>
      <c r="F106" s="43" t="s">
        <v>179</v>
      </c>
      <c r="G106" s="260">
        <v>507</v>
      </c>
      <c r="H106" s="260">
        <v>507</v>
      </c>
      <c r="I106" s="260">
        <v>501.4</v>
      </c>
      <c r="J106" s="260"/>
      <c r="K106" s="260"/>
      <c r="L106" s="260"/>
      <c r="M106" s="260"/>
      <c r="N106" s="260"/>
    </row>
    <row r="107" spans="1:14" s="74" customFormat="1" ht="49.5" customHeight="1" x14ac:dyDescent="0.25">
      <c r="A107" s="42"/>
      <c r="B107" s="42"/>
      <c r="C107" s="42"/>
      <c r="D107" s="43"/>
      <c r="E107" s="41"/>
      <c r="F107" s="43" t="s">
        <v>180</v>
      </c>
      <c r="G107" s="260">
        <v>2000</v>
      </c>
      <c r="H107" s="260">
        <v>1582</v>
      </c>
      <c r="I107" s="260">
        <v>1581.4</v>
      </c>
      <c r="J107" s="260"/>
      <c r="K107" s="260"/>
      <c r="L107" s="260"/>
      <c r="M107" s="260"/>
      <c r="N107" s="260"/>
    </row>
    <row r="108" spans="1:14" s="74" customFormat="1" ht="41.25" customHeight="1" x14ac:dyDescent="0.25">
      <c r="A108" s="42"/>
      <c r="B108" s="42"/>
      <c r="C108" s="42"/>
      <c r="D108" s="43"/>
      <c r="E108" s="41"/>
      <c r="F108" s="43" t="s">
        <v>263</v>
      </c>
      <c r="G108" s="260">
        <f>214-17</f>
        <v>197</v>
      </c>
      <c r="H108" s="260">
        <v>197</v>
      </c>
      <c r="I108" s="260">
        <v>197</v>
      </c>
      <c r="J108" s="260"/>
      <c r="K108" s="260"/>
      <c r="L108" s="260"/>
      <c r="M108" s="260"/>
      <c r="N108" s="260"/>
    </row>
    <row r="109" spans="1:14" s="74" customFormat="1" ht="49.5" customHeight="1" x14ac:dyDescent="0.25">
      <c r="A109" s="42"/>
      <c r="B109" s="42"/>
      <c r="C109" s="42"/>
      <c r="D109" s="43"/>
      <c r="E109" s="41"/>
      <c r="F109" s="43" t="s">
        <v>310</v>
      </c>
      <c r="G109" s="260">
        <v>67.7</v>
      </c>
      <c r="H109" s="260">
        <v>67.7</v>
      </c>
      <c r="I109" s="260">
        <v>53.1</v>
      </c>
      <c r="J109" s="260"/>
      <c r="K109" s="260"/>
      <c r="L109" s="260"/>
      <c r="M109" s="260"/>
      <c r="N109" s="260"/>
    </row>
    <row r="110" spans="1:14" s="74" customFormat="1" ht="49.5" customHeight="1" x14ac:dyDescent="0.25">
      <c r="A110" s="42"/>
      <c r="B110" s="42"/>
      <c r="C110" s="42"/>
      <c r="D110" s="43"/>
      <c r="E110" s="41"/>
      <c r="F110" s="43" t="s">
        <v>311</v>
      </c>
      <c r="G110" s="260">
        <v>145</v>
      </c>
      <c r="H110" s="260">
        <v>145</v>
      </c>
      <c r="I110" s="260">
        <v>139.4</v>
      </c>
      <c r="J110" s="260"/>
      <c r="K110" s="260"/>
      <c r="L110" s="260"/>
      <c r="M110" s="260"/>
      <c r="N110" s="260"/>
    </row>
    <row r="111" spans="1:14" s="74" customFormat="1" ht="49.5" hidden="1" customHeight="1" x14ac:dyDescent="0.25">
      <c r="A111" s="42"/>
      <c r="B111" s="42"/>
      <c r="C111" s="42"/>
      <c r="D111" s="43"/>
      <c r="E111" s="41"/>
      <c r="F111" s="43" t="s">
        <v>312</v>
      </c>
      <c r="G111" s="260">
        <f>62-62</f>
        <v>0</v>
      </c>
      <c r="H111" s="260">
        <v>0</v>
      </c>
      <c r="I111" s="260">
        <v>0</v>
      </c>
      <c r="J111" s="260"/>
      <c r="K111" s="260"/>
      <c r="L111" s="260"/>
      <c r="M111" s="260"/>
      <c r="N111" s="260"/>
    </row>
    <row r="112" spans="1:14" s="74" customFormat="1" ht="68.25" customHeight="1" x14ac:dyDescent="0.25">
      <c r="A112" s="42"/>
      <c r="B112" s="42"/>
      <c r="C112" s="42"/>
      <c r="D112" s="43"/>
      <c r="E112" s="41"/>
      <c r="F112" s="43" t="s">
        <v>301</v>
      </c>
      <c r="G112" s="260">
        <v>94</v>
      </c>
      <c r="H112" s="260">
        <v>64</v>
      </c>
      <c r="I112" s="260">
        <v>39.799999999999997</v>
      </c>
      <c r="J112" s="260"/>
      <c r="K112" s="260"/>
      <c r="L112" s="260"/>
      <c r="M112" s="260"/>
      <c r="N112" s="260"/>
    </row>
    <row r="113" spans="1:14" s="74" customFormat="1" ht="53.25" customHeight="1" x14ac:dyDescent="0.25">
      <c r="A113" s="42"/>
      <c r="B113" s="42"/>
      <c r="C113" s="42"/>
      <c r="D113" s="43"/>
      <c r="E113" s="41"/>
      <c r="F113" s="43" t="s">
        <v>377</v>
      </c>
      <c r="G113" s="260">
        <v>74</v>
      </c>
      <c r="H113" s="260">
        <v>74</v>
      </c>
      <c r="I113" s="260">
        <v>71.400000000000006</v>
      </c>
      <c r="J113" s="260"/>
      <c r="K113" s="260"/>
      <c r="L113" s="260"/>
      <c r="M113" s="260"/>
      <c r="N113" s="260"/>
    </row>
    <row r="114" spans="1:14" s="74" customFormat="1" ht="36.75" customHeight="1" x14ac:dyDescent="0.25">
      <c r="A114" s="11" t="s">
        <v>181</v>
      </c>
      <c r="B114" s="11" t="s">
        <v>182</v>
      </c>
      <c r="C114" s="42"/>
      <c r="D114" s="43" t="s">
        <v>183</v>
      </c>
      <c r="E114" s="43" t="s">
        <v>183</v>
      </c>
      <c r="F114" s="43"/>
      <c r="G114" s="261">
        <f>G115</f>
        <v>0</v>
      </c>
      <c r="H114" s="261"/>
      <c r="I114" s="261"/>
      <c r="J114" s="261"/>
      <c r="K114" s="261">
        <f>K115</f>
        <v>5331.7</v>
      </c>
      <c r="L114" s="261">
        <f>L115</f>
        <v>3161.7</v>
      </c>
      <c r="M114" s="261">
        <f>M115</f>
        <v>1107.5773999999999</v>
      </c>
      <c r="N114" s="261">
        <f>M114/K114*100</f>
        <v>20.773438115422845</v>
      </c>
    </row>
    <row r="115" spans="1:14" s="224" customFormat="1" ht="51.75" customHeight="1" x14ac:dyDescent="0.25">
      <c r="A115" s="42">
        <v>4016021</v>
      </c>
      <c r="B115" s="42">
        <v>6021</v>
      </c>
      <c r="C115" s="42">
        <v>610</v>
      </c>
      <c r="D115" s="43" t="s">
        <v>184</v>
      </c>
      <c r="E115" s="43" t="s">
        <v>184</v>
      </c>
      <c r="F115" s="43" t="s">
        <v>290</v>
      </c>
      <c r="G115" s="260"/>
      <c r="H115" s="260"/>
      <c r="I115" s="260"/>
      <c r="J115" s="260"/>
      <c r="K115" s="260">
        <v>5331.7</v>
      </c>
      <c r="L115" s="260">
        <v>3161.7</v>
      </c>
      <c r="M115" s="260">
        <v>1107.5773999999999</v>
      </c>
      <c r="N115" s="260"/>
    </row>
    <row r="116" spans="1:14" s="74" customFormat="1" ht="38.25" customHeight="1" x14ac:dyDescent="0.25">
      <c r="A116" s="11" t="s">
        <v>185</v>
      </c>
      <c r="B116" s="11" t="s">
        <v>186</v>
      </c>
      <c r="C116" s="42"/>
      <c r="D116" s="156" t="s">
        <v>187</v>
      </c>
      <c r="E116" s="41"/>
      <c r="F116" s="43"/>
      <c r="G116" s="261">
        <f>G118</f>
        <v>600</v>
      </c>
      <c r="H116" s="261">
        <f t="shared" ref="H116:I116" si="10">H118</f>
        <v>180</v>
      </c>
      <c r="I116" s="261">
        <f t="shared" si="10"/>
        <v>0</v>
      </c>
      <c r="J116" s="261">
        <f>I116/G116*100</f>
        <v>0</v>
      </c>
      <c r="K116" s="261">
        <f>K117</f>
        <v>633</v>
      </c>
      <c r="L116" s="261">
        <f>L117</f>
        <v>190</v>
      </c>
      <c r="M116" s="261">
        <f>M117</f>
        <v>0</v>
      </c>
      <c r="N116" s="261">
        <f>M116/K116*100</f>
        <v>0</v>
      </c>
    </row>
    <row r="117" spans="1:14" s="74" customFormat="1" ht="66" customHeight="1" x14ac:dyDescent="0.25">
      <c r="A117" s="11" t="s">
        <v>188</v>
      </c>
      <c r="B117" s="11" t="s">
        <v>189</v>
      </c>
      <c r="C117" s="11" t="s">
        <v>190</v>
      </c>
      <c r="D117" s="43" t="s">
        <v>191</v>
      </c>
      <c r="E117" s="41"/>
      <c r="F117" s="43" t="s">
        <v>264</v>
      </c>
      <c r="G117" s="260"/>
      <c r="H117" s="260"/>
      <c r="I117" s="260"/>
      <c r="J117" s="260"/>
      <c r="K117" s="260">
        <v>633</v>
      </c>
      <c r="L117" s="260">
        <v>190</v>
      </c>
      <c r="M117" s="260">
        <v>0</v>
      </c>
      <c r="N117" s="260"/>
    </row>
    <row r="118" spans="1:14" s="74" customFormat="1" ht="66" customHeight="1" x14ac:dyDescent="0.25">
      <c r="A118" s="11"/>
      <c r="B118" s="11"/>
      <c r="C118" s="11"/>
      <c r="D118" s="43"/>
      <c r="E118" s="41"/>
      <c r="F118" s="43" t="s">
        <v>394</v>
      </c>
      <c r="G118" s="260">
        <v>600</v>
      </c>
      <c r="H118" s="260">
        <v>180</v>
      </c>
      <c r="I118" s="260">
        <v>0</v>
      </c>
      <c r="J118" s="260"/>
      <c r="K118" s="260"/>
      <c r="L118" s="260"/>
      <c r="M118" s="260"/>
      <c r="N118" s="260"/>
    </row>
    <row r="119" spans="1:14" s="74" customFormat="1" ht="23.25" customHeight="1" x14ac:dyDescent="0.25">
      <c r="A119" s="42">
        <v>4016060</v>
      </c>
      <c r="B119" s="42">
        <v>6060</v>
      </c>
      <c r="C119" s="42">
        <v>620</v>
      </c>
      <c r="D119" s="43" t="s">
        <v>192</v>
      </c>
      <c r="E119" s="41"/>
      <c r="F119" s="43"/>
      <c r="G119" s="298">
        <f>SUM(G120:G128)</f>
        <v>16209.499999999998</v>
      </c>
      <c r="H119" s="261">
        <f>SUM(H120:H128)</f>
        <v>9557.110999999999</v>
      </c>
      <c r="I119" s="261">
        <f>SUM(I120:I128)</f>
        <v>7565.7000000000007</v>
      </c>
      <c r="J119" s="261">
        <f>I119/G119*100</f>
        <v>46.674481014220063</v>
      </c>
      <c r="K119" s="261">
        <f>SUM(K120:K133)</f>
        <v>2339</v>
      </c>
      <c r="L119" s="261">
        <f>SUM(L120:L133)</f>
        <v>2039</v>
      </c>
      <c r="M119" s="261">
        <f>SUM(M120:M133)</f>
        <v>1069.72352</v>
      </c>
      <c r="N119" s="261">
        <f>SUM(N120:N133)</f>
        <v>3.9036661856924266</v>
      </c>
    </row>
    <row r="120" spans="1:14" s="74" customFormat="1" ht="51" customHeight="1" x14ac:dyDescent="0.25">
      <c r="A120" s="42"/>
      <c r="B120" s="42"/>
      <c r="C120" s="42"/>
      <c r="D120" s="80" t="s">
        <v>178</v>
      </c>
      <c r="E120" s="41"/>
      <c r="F120" s="43" t="s">
        <v>275</v>
      </c>
      <c r="G120" s="283">
        <v>10383.799999999999</v>
      </c>
      <c r="H120" s="260">
        <f>4487.4+4+294+719+5.3</f>
        <v>5509.7</v>
      </c>
      <c r="I120" s="267">
        <f>4394.6+256.1</f>
        <v>4650.7000000000007</v>
      </c>
      <c r="J120" s="260"/>
      <c r="K120" s="260"/>
      <c r="L120" s="260"/>
      <c r="M120" s="260"/>
      <c r="N120" s="260"/>
    </row>
    <row r="121" spans="1:14" s="74" customFormat="1" ht="54.75" customHeight="1" x14ac:dyDescent="0.25">
      <c r="A121" s="42"/>
      <c r="B121" s="42"/>
      <c r="C121" s="42"/>
      <c r="D121" s="80"/>
      <c r="E121" s="41"/>
      <c r="F121" s="43" t="s">
        <v>302</v>
      </c>
      <c r="G121" s="296">
        <f>2613.4+7</f>
        <v>2620.4</v>
      </c>
      <c r="H121" s="296">
        <f>2138+259.4+7</f>
        <v>2404.4</v>
      </c>
      <c r="I121" s="297">
        <f>1355.8+298</f>
        <v>1653.8</v>
      </c>
      <c r="J121" s="260"/>
      <c r="K121" s="260"/>
      <c r="L121" s="260"/>
      <c r="M121" s="260"/>
      <c r="N121" s="260"/>
    </row>
    <row r="122" spans="1:14" s="74" customFormat="1" ht="56.25" customHeight="1" x14ac:dyDescent="0.25">
      <c r="A122" s="42"/>
      <c r="B122" s="42"/>
      <c r="C122" s="42"/>
      <c r="D122" s="80"/>
      <c r="E122" s="41"/>
      <c r="F122" s="43" t="s">
        <v>266</v>
      </c>
      <c r="G122" s="260">
        <v>2800</v>
      </c>
      <c r="H122" s="260">
        <f>910.5+228.6+223.611</f>
        <v>1362.7109999999998</v>
      </c>
      <c r="I122" s="267">
        <f>867.6+137.4</f>
        <v>1005</v>
      </c>
      <c r="J122" s="260"/>
      <c r="K122" s="260"/>
      <c r="L122" s="260"/>
      <c r="M122" s="260"/>
      <c r="N122" s="260"/>
    </row>
    <row r="123" spans="1:14" s="74" customFormat="1" ht="94.5" customHeight="1" x14ac:dyDescent="0.25">
      <c r="A123" s="42"/>
      <c r="B123" s="42"/>
      <c r="C123" s="42"/>
      <c r="D123" s="43"/>
      <c r="E123" s="41"/>
      <c r="F123" s="43" t="s">
        <v>257</v>
      </c>
      <c r="G123" s="260">
        <v>100</v>
      </c>
      <c r="H123" s="260">
        <v>0</v>
      </c>
      <c r="I123" s="267">
        <v>0</v>
      </c>
      <c r="J123" s="260"/>
      <c r="K123" s="260"/>
      <c r="L123" s="260"/>
      <c r="M123" s="260"/>
      <c r="N123" s="260"/>
    </row>
    <row r="124" spans="1:14" s="74" customFormat="1" ht="54" customHeight="1" x14ac:dyDescent="0.25">
      <c r="A124" s="42"/>
      <c r="B124" s="42"/>
      <c r="C124" s="42"/>
      <c r="D124" s="43"/>
      <c r="E124" s="41"/>
      <c r="F124" s="43" t="s">
        <v>391</v>
      </c>
      <c r="G124" s="260">
        <f>200+100</f>
        <v>300</v>
      </c>
      <c r="H124" s="260">
        <f>25+125+125</f>
        <v>275</v>
      </c>
      <c r="I124" s="267">
        <v>250.9</v>
      </c>
      <c r="J124" s="260"/>
      <c r="K124" s="260"/>
      <c r="L124" s="260"/>
      <c r="M124" s="260"/>
      <c r="N124" s="260"/>
    </row>
    <row r="125" spans="1:14" s="74" customFormat="1" ht="0.75" customHeight="1" x14ac:dyDescent="0.25">
      <c r="A125" s="42"/>
      <c r="B125" s="42"/>
      <c r="C125" s="42"/>
      <c r="D125" s="43"/>
      <c r="E125" s="41"/>
      <c r="F125" s="43" t="s">
        <v>332</v>
      </c>
      <c r="G125" s="260">
        <f>100-100</f>
        <v>0</v>
      </c>
      <c r="H125" s="260">
        <v>0</v>
      </c>
      <c r="I125" s="267">
        <v>0</v>
      </c>
      <c r="J125" s="260"/>
      <c r="K125" s="260"/>
      <c r="L125" s="260"/>
      <c r="M125" s="260"/>
      <c r="N125" s="260"/>
    </row>
    <row r="126" spans="1:14" s="74" customFormat="1" ht="58.5" customHeight="1" x14ac:dyDescent="0.25">
      <c r="A126" s="42"/>
      <c r="B126" s="42"/>
      <c r="C126" s="42"/>
      <c r="D126" s="43"/>
      <c r="E126" s="41"/>
      <c r="F126" s="43" t="s">
        <v>333</v>
      </c>
      <c r="G126" s="260">
        <v>5.3</v>
      </c>
      <c r="H126" s="260">
        <v>5.3</v>
      </c>
      <c r="I126" s="267">
        <v>5.3</v>
      </c>
      <c r="J126" s="260"/>
      <c r="K126" s="260"/>
      <c r="L126" s="260"/>
      <c r="M126" s="260"/>
      <c r="N126" s="260"/>
    </row>
    <row r="127" spans="1:14" s="74" customFormat="1" ht="51.75" customHeight="1" x14ac:dyDescent="0.25">
      <c r="A127" s="42"/>
      <c r="B127" s="42"/>
      <c r="C127" s="42"/>
      <c r="D127" s="43"/>
      <c r="E127" s="41"/>
      <c r="F127" s="43" t="s">
        <v>265</v>
      </c>
      <c r="G127" s="260"/>
      <c r="H127" s="260"/>
      <c r="I127" s="260"/>
      <c r="J127" s="260"/>
      <c r="K127" s="284">
        <v>329</v>
      </c>
      <c r="L127" s="273">
        <v>329</v>
      </c>
      <c r="M127" s="295">
        <v>322.2</v>
      </c>
      <c r="N127" s="273">
        <f>M127/K127</f>
        <v>0.97933130699088144</v>
      </c>
    </row>
    <row r="128" spans="1:14" s="74" customFormat="1" ht="69.75" customHeight="1" x14ac:dyDescent="0.25">
      <c r="A128" s="42"/>
      <c r="B128" s="42"/>
      <c r="C128" s="42"/>
      <c r="D128" s="43"/>
      <c r="E128" s="41"/>
      <c r="F128" s="43" t="s">
        <v>193</v>
      </c>
      <c r="G128" s="260"/>
      <c r="H128" s="260"/>
      <c r="I128" s="260"/>
      <c r="J128" s="260"/>
      <c r="K128" s="273">
        <v>1000</v>
      </c>
      <c r="L128" s="273">
        <f>100+300+300</f>
        <v>700</v>
      </c>
      <c r="M128" s="295">
        <v>213.4</v>
      </c>
      <c r="N128" s="273">
        <f t="shared" ref="N128:N133" si="11">M128/K128</f>
        <v>0.21340000000000001</v>
      </c>
    </row>
    <row r="129" spans="1:14" s="74" customFormat="1" ht="54.75" customHeight="1" x14ac:dyDescent="0.25">
      <c r="A129" s="42"/>
      <c r="B129" s="42"/>
      <c r="C129" s="42"/>
      <c r="D129" s="43"/>
      <c r="E129" s="41"/>
      <c r="F129" s="43" t="s">
        <v>334</v>
      </c>
      <c r="G129" s="260"/>
      <c r="H129" s="260"/>
      <c r="I129" s="260"/>
      <c r="J129" s="260"/>
      <c r="K129" s="273">
        <v>100</v>
      </c>
      <c r="L129" s="273">
        <v>100</v>
      </c>
      <c r="M129" s="295">
        <v>0</v>
      </c>
      <c r="N129" s="273">
        <f t="shared" si="11"/>
        <v>0</v>
      </c>
    </row>
    <row r="130" spans="1:14" s="74" customFormat="1" ht="30.75" customHeight="1" x14ac:dyDescent="0.25">
      <c r="A130" s="42"/>
      <c r="B130" s="42"/>
      <c r="C130" s="42"/>
      <c r="D130" s="43"/>
      <c r="E130" s="41"/>
      <c r="F130" s="43" t="s">
        <v>426</v>
      </c>
      <c r="G130" s="260"/>
      <c r="H130" s="260"/>
      <c r="I130" s="260"/>
      <c r="J130" s="260"/>
      <c r="K130" s="273">
        <f>70+11</f>
        <v>81</v>
      </c>
      <c r="L130" s="273">
        <f>K130</f>
        <v>81</v>
      </c>
      <c r="M130" s="295">
        <v>63.453519999999997</v>
      </c>
      <c r="N130" s="273">
        <f t="shared" si="11"/>
        <v>0.78337679012345673</v>
      </c>
    </row>
    <row r="131" spans="1:14" s="74" customFormat="1" ht="25.5" customHeight="1" x14ac:dyDescent="0.25">
      <c r="A131" s="42"/>
      <c r="B131" s="42"/>
      <c r="C131" s="42"/>
      <c r="D131" s="43"/>
      <c r="E131" s="41"/>
      <c r="F131" s="43" t="s">
        <v>404</v>
      </c>
      <c r="G131" s="260"/>
      <c r="H131" s="260"/>
      <c r="I131" s="260"/>
      <c r="J131" s="260"/>
      <c r="K131" s="273">
        <v>50</v>
      </c>
      <c r="L131" s="273">
        <v>50</v>
      </c>
      <c r="M131" s="295">
        <v>46.999000000000002</v>
      </c>
      <c r="N131" s="273">
        <f t="shared" si="11"/>
        <v>0.93998000000000004</v>
      </c>
    </row>
    <row r="132" spans="1:14" s="74" customFormat="1" ht="36.75" customHeight="1" x14ac:dyDescent="0.25">
      <c r="A132" s="42"/>
      <c r="B132" s="42"/>
      <c r="C132" s="42"/>
      <c r="D132" s="43"/>
      <c r="E132" s="41"/>
      <c r="F132" s="43" t="s">
        <v>405</v>
      </c>
      <c r="G132" s="260"/>
      <c r="H132" s="260"/>
      <c r="I132" s="260"/>
      <c r="J132" s="260"/>
      <c r="K132" s="273">
        <v>350</v>
      </c>
      <c r="L132" s="273">
        <v>350</v>
      </c>
      <c r="M132" s="295">
        <v>0</v>
      </c>
      <c r="N132" s="273">
        <f t="shared" si="11"/>
        <v>0</v>
      </c>
    </row>
    <row r="133" spans="1:14" s="74" customFormat="1" ht="36" customHeight="1" x14ac:dyDescent="0.25">
      <c r="A133" s="42"/>
      <c r="B133" s="42"/>
      <c r="C133" s="42"/>
      <c r="D133" s="43"/>
      <c r="E133" s="41"/>
      <c r="F133" s="43" t="s">
        <v>336</v>
      </c>
      <c r="G133" s="260"/>
      <c r="H133" s="260"/>
      <c r="I133" s="260"/>
      <c r="J133" s="260"/>
      <c r="K133" s="273">
        <v>429</v>
      </c>
      <c r="L133" s="273">
        <v>429</v>
      </c>
      <c r="M133" s="295">
        <v>423.67099999999999</v>
      </c>
      <c r="N133" s="273">
        <f t="shared" si="11"/>
        <v>0.9875780885780886</v>
      </c>
    </row>
    <row r="134" spans="1:14" s="74" customFormat="1" ht="41.25" customHeight="1" x14ac:dyDescent="0.25">
      <c r="A134" s="42">
        <v>4017420</v>
      </c>
      <c r="B134" s="42">
        <v>7420</v>
      </c>
      <c r="C134" s="42">
        <v>490</v>
      </c>
      <c r="D134" s="43" t="s">
        <v>194</v>
      </c>
      <c r="E134" s="41"/>
      <c r="F134" s="43"/>
      <c r="G134" s="283">
        <f>SUM(G135:G140)</f>
        <v>202.7</v>
      </c>
      <c r="H134" s="283">
        <f>SUM(H135:H140)</f>
        <v>98.1</v>
      </c>
      <c r="I134" s="283">
        <f>SUM(I135:I140)</f>
        <v>79.7</v>
      </c>
      <c r="J134" s="260">
        <f>I134/G134*100</f>
        <v>39.319190922545637</v>
      </c>
      <c r="K134" s="260">
        <f>SUM(K135:K140)</f>
        <v>192</v>
      </c>
      <c r="L134" s="260">
        <f>SUM(L135:L140)</f>
        <v>42</v>
      </c>
      <c r="M134" s="260">
        <f>SUM(M135:M140)</f>
        <v>42</v>
      </c>
      <c r="N134" s="260">
        <f>M134/K134*100</f>
        <v>21.875</v>
      </c>
    </row>
    <row r="135" spans="1:14" s="74" customFormat="1" ht="102" customHeight="1" x14ac:dyDescent="0.25">
      <c r="A135" s="42"/>
      <c r="B135" s="42"/>
      <c r="C135" s="42"/>
      <c r="D135" s="80" t="s">
        <v>178</v>
      </c>
      <c r="E135" s="41"/>
      <c r="F135" s="43" t="s">
        <v>384</v>
      </c>
      <c r="G135" s="260">
        <v>104.6</v>
      </c>
      <c r="H135" s="260">
        <v>0</v>
      </c>
      <c r="I135" s="260">
        <v>0</v>
      </c>
      <c r="J135" s="260"/>
      <c r="K135" s="260"/>
      <c r="L135" s="260"/>
      <c r="M135" s="260"/>
      <c r="N135" s="260"/>
    </row>
    <row r="136" spans="1:14" s="74" customFormat="1" ht="62.25" customHeight="1" x14ac:dyDescent="0.25">
      <c r="A136" s="42"/>
      <c r="B136" s="42"/>
      <c r="C136" s="42"/>
      <c r="D136" s="80"/>
      <c r="E136" s="41"/>
      <c r="F136" s="43" t="s">
        <v>372</v>
      </c>
      <c r="G136" s="260">
        <v>34.6</v>
      </c>
      <c r="H136" s="260">
        <f>29.2+5.4</f>
        <v>34.6</v>
      </c>
      <c r="I136" s="267">
        <v>29.2</v>
      </c>
      <c r="J136" s="260"/>
      <c r="K136" s="260"/>
      <c r="L136" s="260"/>
      <c r="M136" s="260"/>
      <c r="N136" s="260"/>
    </row>
    <row r="137" spans="1:14" s="74" customFormat="1" ht="69.75" customHeight="1" x14ac:dyDescent="0.25">
      <c r="A137" s="42"/>
      <c r="B137" s="42"/>
      <c r="C137" s="42"/>
      <c r="D137" s="80"/>
      <c r="E137" s="41"/>
      <c r="F137" s="43" t="s">
        <v>373</v>
      </c>
      <c r="G137" s="260">
        <v>12.5</v>
      </c>
      <c r="H137" s="260">
        <v>12.5</v>
      </c>
      <c r="I137" s="267">
        <v>0</v>
      </c>
      <c r="J137" s="260"/>
      <c r="K137" s="260"/>
      <c r="L137" s="260"/>
      <c r="M137" s="260"/>
      <c r="N137" s="260"/>
    </row>
    <row r="138" spans="1:14" s="74" customFormat="1" ht="42" customHeight="1" x14ac:dyDescent="0.25">
      <c r="A138" s="42"/>
      <c r="B138" s="42"/>
      <c r="C138" s="42"/>
      <c r="D138" s="80"/>
      <c r="E138" s="41"/>
      <c r="F138" s="43" t="s">
        <v>401</v>
      </c>
      <c r="G138" s="260">
        <v>51</v>
      </c>
      <c r="H138" s="260">
        <v>51</v>
      </c>
      <c r="I138" s="267">
        <v>50.5</v>
      </c>
      <c r="J138" s="260"/>
      <c r="K138" s="260"/>
      <c r="L138" s="260"/>
      <c r="M138" s="260"/>
      <c r="N138" s="260"/>
    </row>
    <row r="139" spans="1:14" s="74" customFormat="1" ht="52.5" customHeight="1" x14ac:dyDescent="0.25">
      <c r="A139" s="42"/>
      <c r="B139" s="42"/>
      <c r="C139" s="42"/>
      <c r="D139" s="43"/>
      <c r="E139" s="41"/>
      <c r="F139" s="43" t="s">
        <v>338</v>
      </c>
      <c r="G139" s="260"/>
      <c r="H139" s="260"/>
      <c r="I139" s="260"/>
      <c r="J139" s="260"/>
      <c r="K139" s="283">
        <v>42</v>
      </c>
      <c r="L139" s="260">
        <v>42</v>
      </c>
      <c r="M139" s="267">
        <v>42</v>
      </c>
      <c r="N139" s="260"/>
    </row>
    <row r="140" spans="1:14" s="74" customFormat="1" ht="55.5" customHeight="1" x14ac:dyDescent="0.25">
      <c r="A140" s="42"/>
      <c r="B140" s="42"/>
      <c r="C140" s="42"/>
      <c r="D140" s="43"/>
      <c r="E140" s="41"/>
      <c r="F140" s="43" t="s">
        <v>337</v>
      </c>
      <c r="G140" s="260"/>
      <c r="H140" s="260"/>
      <c r="I140" s="260"/>
      <c r="J140" s="260"/>
      <c r="K140" s="260">
        <v>150</v>
      </c>
      <c r="L140" s="260">
        <v>0</v>
      </c>
      <c r="M140" s="267">
        <v>0</v>
      </c>
      <c r="N140" s="260"/>
    </row>
    <row r="141" spans="1:14" s="74" customFormat="1" ht="86.25" customHeight="1" x14ac:dyDescent="0.25">
      <c r="A141" s="42">
        <v>4019181</v>
      </c>
      <c r="B141" s="24" t="s">
        <v>313</v>
      </c>
      <c r="C141" s="24" t="s">
        <v>30</v>
      </c>
      <c r="D141" s="43" t="s">
        <v>314</v>
      </c>
      <c r="E141" s="41"/>
      <c r="F141" s="88" t="s">
        <v>315</v>
      </c>
      <c r="G141" s="260"/>
      <c r="H141" s="260"/>
      <c r="I141" s="260"/>
      <c r="J141" s="260"/>
      <c r="K141" s="260">
        <v>127.292</v>
      </c>
      <c r="L141" s="260">
        <v>127.292</v>
      </c>
      <c r="M141" s="260">
        <v>127.292</v>
      </c>
      <c r="N141" s="260"/>
    </row>
    <row r="142" spans="1:14" s="10" customFormat="1" ht="70.5" customHeight="1" x14ac:dyDescent="0.25">
      <c r="A142" s="24"/>
      <c r="B142" s="77"/>
      <c r="C142" s="77"/>
      <c r="D142" s="81"/>
      <c r="E142" s="44"/>
      <c r="F142" s="215" t="s">
        <v>195</v>
      </c>
      <c r="G142" s="270">
        <f>G144</f>
        <v>0</v>
      </c>
      <c r="H142" s="270"/>
      <c r="I142" s="270"/>
      <c r="J142" s="270"/>
      <c r="K142" s="270">
        <f>K143+K144+K146+K147+K152+K155+K149+K145</f>
        <v>24524.171999999999</v>
      </c>
      <c r="L142" s="270">
        <f>L143+L144+L146+L147+L152+L155+L149+L145</f>
        <v>12994.772000000001</v>
      </c>
      <c r="M142" s="270">
        <f>M143+M144+M146+M147+M152+M155+M149+M145</f>
        <v>2994.2760400000002</v>
      </c>
      <c r="N142" s="270">
        <f>N143+N144+N146+N147+N152+N155+N148+N150+N151</f>
        <v>0</v>
      </c>
    </row>
    <row r="143" spans="1:14" s="71" customFormat="1" ht="84" customHeight="1" x14ac:dyDescent="0.25">
      <c r="A143" s="11" t="s">
        <v>316</v>
      </c>
      <c r="B143" s="11" t="s">
        <v>317</v>
      </c>
      <c r="C143" s="21" t="s">
        <v>190</v>
      </c>
      <c r="D143" s="156" t="s">
        <v>318</v>
      </c>
      <c r="E143" s="44"/>
      <c r="F143" s="43" t="s">
        <v>319</v>
      </c>
      <c r="G143" s="261"/>
      <c r="H143" s="261"/>
      <c r="I143" s="261"/>
      <c r="J143" s="261"/>
      <c r="K143" s="260">
        <v>100</v>
      </c>
      <c r="L143" s="260">
        <v>100</v>
      </c>
      <c r="M143" s="260">
        <v>0</v>
      </c>
      <c r="N143" s="261"/>
    </row>
    <row r="144" spans="1:14" s="71" customFormat="1" ht="39.75" customHeight="1" x14ac:dyDescent="0.25">
      <c r="A144" s="11" t="s">
        <v>196</v>
      </c>
      <c r="B144" s="11" t="s">
        <v>36</v>
      </c>
      <c r="C144" s="24" t="s">
        <v>37</v>
      </c>
      <c r="D144" s="67" t="s">
        <v>197</v>
      </c>
      <c r="E144" s="67" t="s">
        <v>197</v>
      </c>
      <c r="F144" s="67" t="s">
        <v>260</v>
      </c>
      <c r="G144" s="260"/>
      <c r="H144" s="260"/>
      <c r="I144" s="260"/>
      <c r="J144" s="260"/>
      <c r="K144" s="260">
        <v>14481.572</v>
      </c>
      <c r="L144" s="260">
        <v>7205.2719999999999</v>
      </c>
      <c r="M144" s="260">
        <v>2527.3312900000001</v>
      </c>
      <c r="N144" s="260"/>
    </row>
    <row r="145" spans="1:14" s="71" customFormat="1" ht="99.75" customHeight="1" x14ac:dyDescent="0.25">
      <c r="A145" s="11" t="s">
        <v>363</v>
      </c>
      <c r="B145" s="11" t="s">
        <v>364</v>
      </c>
      <c r="C145" s="24" t="s">
        <v>211</v>
      </c>
      <c r="D145" s="67" t="s">
        <v>362</v>
      </c>
      <c r="E145" s="67"/>
      <c r="F145" s="67" t="s">
        <v>365</v>
      </c>
      <c r="G145" s="260"/>
      <c r="H145" s="260"/>
      <c r="I145" s="260"/>
      <c r="J145" s="260"/>
      <c r="K145" s="260">
        <v>395</v>
      </c>
      <c r="L145" s="260">
        <v>300</v>
      </c>
      <c r="M145" s="260">
        <v>98.0364</v>
      </c>
      <c r="N145" s="260"/>
    </row>
    <row r="146" spans="1:14" s="10" customFormat="1" ht="51" customHeight="1" x14ac:dyDescent="0.25">
      <c r="A146" s="82" t="s">
        <v>198</v>
      </c>
      <c r="B146" s="82" t="s">
        <v>199</v>
      </c>
      <c r="C146" s="82" t="s">
        <v>190</v>
      </c>
      <c r="D146" s="67" t="s">
        <v>192</v>
      </c>
      <c r="E146" s="44"/>
      <c r="F146" s="45" t="s">
        <v>261</v>
      </c>
      <c r="G146" s="260">
        <v>0</v>
      </c>
      <c r="H146" s="260"/>
      <c r="I146" s="260"/>
      <c r="J146" s="260"/>
      <c r="K146" s="260">
        <v>37.9</v>
      </c>
      <c r="L146" s="260">
        <v>37.9</v>
      </c>
      <c r="M146" s="260">
        <v>0</v>
      </c>
      <c r="N146" s="260"/>
    </row>
    <row r="147" spans="1:14" s="10" customFormat="1" ht="36" customHeight="1" x14ac:dyDescent="0.25">
      <c r="A147" s="82" t="s">
        <v>181</v>
      </c>
      <c r="B147" s="82" t="s">
        <v>182</v>
      </c>
      <c r="C147" s="82" t="s">
        <v>200</v>
      </c>
      <c r="D147" s="67" t="s">
        <v>183</v>
      </c>
      <c r="E147" s="67" t="s">
        <v>183</v>
      </c>
      <c r="F147" s="45"/>
      <c r="G147" s="260">
        <f>G148</f>
        <v>0</v>
      </c>
      <c r="H147" s="260"/>
      <c r="I147" s="260"/>
      <c r="J147" s="260"/>
      <c r="K147" s="260">
        <f>K148</f>
        <v>20</v>
      </c>
      <c r="L147" s="260">
        <f>L148</f>
        <v>10</v>
      </c>
      <c r="M147" s="260">
        <f>M148</f>
        <v>6.4083500000000004</v>
      </c>
      <c r="N147" s="260"/>
    </row>
    <row r="148" spans="1:14" s="71" customFormat="1" ht="37.5" customHeight="1" x14ac:dyDescent="0.25">
      <c r="A148" s="83" t="s">
        <v>201</v>
      </c>
      <c r="B148" s="83" t="s">
        <v>202</v>
      </c>
      <c r="C148" s="83" t="s">
        <v>203</v>
      </c>
      <c r="D148" s="84" t="s">
        <v>184</v>
      </c>
      <c r="E148" s="44"/>
      <c r="F148" s="45" t="s">
        <v>262</v>
      </c>
      <c r="G148" s="260"/>
      <c r="H148" s="260"/>
      <c r="I148" s="260"/>
      <c r="J148" s="260"/>
      <c r="K148" s="260">
        <v>20</v>
      </c>
      <c r="L148" s="260">
        <v>10</v>
      </c>
      <c r="M148" s="260">
        <v>6.4083500000000004</v>
      </c>
      <c r="N148" s="260"/>
    </row>
    <row r="149" spans="1:14" s="232" customFormat="1" ht="48" customHeight="1" x14ac:dyDescent="0.25">
      <c r="A149" s="230" t="s">
        <v>216</v>
      </c>
      <c r="B149" s="230" t="s">
        <v>217</v>
      </c>
      <c r="C149" s="230" t="s">
        <v>37</v>
      </c>
      <c r="D149" s="211" t="s">
        <v>194</v>
      </c>
      <c r="E149" s="214"/>
      <c r="F149" s="215" t="s">
        <v>346</v>
      </c>
      <c r="G149" s="271"/>
      <c r="H149" s="271"/>
      <c r="I149" s="271"/>
      <c r="J149" s="271"/>
      <c r="K149" s="271">
        <f>K150+K151</f>
        <v>825</v>
      </c>
      <c r="L149" s="271">
        <f>L150+L151</f>
        <v>825</v>
      </c>
      <c r="M149" s="271">
        <f>M150+M151</f>
        <v>214.60000000000002</v>
      </c>
      <c r="N149" s="271">
        <f>M149/K149*100</f>
        <v>26.012121212121215</v>
      </c>
    </row>
    <row r="150" spans="1:14" s="71" customFormat="1" ht="66" customHeight="1" x14ac:dyDescent="0.25">
      <c r="A150" s="83"/>
      <c r="B150" s="83"/>
      <c r="C150" s="83"/>
      <c r="D150" s="229"/>
      <c r="E150" s="44"/>
      <c r="F150" s="45" t="s">
        <v>427</v>
      </c>
      <c r="G150" s="260"/>
      <c r="H150" s="260"/>
      <c r="I150" s="260"/>
      <c r="J150" s="260"/>
      <c r="K150" s="283">
        <v>325</v>
      </c>
      <c r="L150" s="260">
        <v>325</v>
      </c>
      <c r="M150" s="260">
        <v>85.2</v>
      </c>
      <c r="N150" s="260"/>
    </row>
    <row r="151" spans="1:14" s="71" customFormat="1" ht="53.25" customHeight="1" x14ac:dyDescent="0.25">
      <c r="A151" s="83"/>
      <c r="B151" s="83"/>
      <c r="C151" s="83"/>
      <c r="D151" s="229"/>
      <c r="E151" s="44"/>
      <c r="F151" s="45" t="s">
        <v>340</v>
      </c>
      <c r="G151" s="260"/>
      <c r="H151" s="260"/>
      <c r="I151" s="260"/>
      <c r="J151" s="260"/>
      <c r="K151" s="260">
        <v>500</v>
      </c>
      <c r="L151" s="260">
        <v>500</v>
      </c>
      <c r="M151" s="260">
        <v>129.4</v>
      </c>
      <c r="N151" s="260"/>
    </row>
    <row r="152" spans="1:14" s="10" customFormat="1" ht="29.25" customHeight="1" x14ac:dyDescent="0.25">
      <c r="A152" s="82" t="s">
        <v>204</v>
      </c>
      <c r="B152" s="82" t="s">
        <v>128</v>
      </c>
      <c r="C152" s="82" t="s">
        <v>205</v>
      </c>
      <c r="D152" s="213" t="s">
        <v>206</v>
      </c>
      <c r="E152" s="214"/>
      <c r="F152" s="215"/>
      <c r="G152" s="271">
        <f>SUM(G153:G154)</f>
        <v>0</v>
      </c>
      <c r="H152" s="271"/>
      <c r="I152" s="271"/>
      <c r="J152" s="271"/>
      <c r="K152" s="271">
        <f>SUM(K153:K154)</f>
        <v>1936.3999999999999</v>
      </c>
      <c r="L152" s="271">
        <f>SUM(L153:L154)</f>
        <v>128.30000000000001</v>
      </c>
      <c r="M152" s="271">
        <f>SUM(M153:M154)</f>
        <v>98</v>
      </c>
      <c r="N152" s="271"/>
    </row>
    <row r="153" spans="1:14" s="71" customFormat="1" ht="105.75" customHeight="1" x14ac:dyDescent="0.25">
      <c r="A153" s="83"/>
      <c r="B153" s="83"/>
      <c r="C153" s="83"/>
      <c r="D153" s="81" t="s">
        <v>178</v>
      </c>
      <c r="E153" s="67" t="s">
        <v>207</v>
      </c>
      <c r="F153" s="67" t="s">
        <v>378</v>
      </c>
      <c r="G153" s="260"/>
      <c r="H153" s="260"/>
      <c r="I153" s="260"/>
      <c r="J153" s="260"/>
      <c r="K153" s="273">
        <v>1908.1</v>
      </c>
      <c r="L153" s="273">
        <v>100</v>
      </c>
      <c r="M153" s="273">
        <v>98</v>
      </c>
      <c r="N153" s="273"/>
    </row>
    <row r="154" spans="1:14" s="71" customFormat="1" ht="56.25" customHeight="1" x14ac:dyDescent="0.25">
      <c r="A154" s="83"/>
      <c r="B154" s="83"/>
      <c r="C154" s="83"/>
      <c r="D154" s="81"/>
      <c r="E154" s="67" t="s">
        <v>208</v>
      </c>
      <c r="F154" s="67" t="s">
        <v>208</v>
      </c>
      <c r="G154" s="260"/>
      <c r="H154" s="260"/>
      <c r="I154" s="260"/>
      <c r="J154" s="260"/>
      <c r="K154" s="273">
        <v>28.3</v>
      </c>
      <c r="L154" s="273">
        <v>28.3</v>
      </c>
      <c r="M154" s="273">
        <v>0</v>
      </c>
      <c r="N154" s="273"/>
    </row>
    <row r="155" spans="1:14" s="10" customFormat="1" ht="100.5" customHeight="1" x14ac:dyDescent="0.25">
      <c r="A155" s="82" t="s">
        <v>209</v>
      </c>
      <c r="B155" s="82" t="s">
        <v>210</v>
      </c>
      <c r="C155" s="82" t="s">
        <v>211</v>
      </c>
      <c r="D155" s="67" t="s">
        <v>212</v>
      </c>
      <c r="E155" s="67"/>
      <c r="F155" s="211"/>
      <c r="G155" s="271">
        <f>SUM(G156:G158)</f>
        <v>0</v>
      </c>
      <c r="H155" s="271"/>
      <c r="I155" s="271"/>
      <c r="J155" s="271"/>
      <c r="K155" s="271">
        <f>SUM(K156:K158)</f>
        <v>6728.3</v>
      </c>
      <c r="L155" s="271">
        <f>SUM(L156:L158)</f>
        <v>4388.3</v>
      </c>
      <c r="M155" s="271">
        <f>SUM(M156:M158)</f>
        <v>49.9</v>
      </c>
      <c r="N155" s="271"/>
    </row>
    <row r="156" spans="1:14" s="71" customFormat="1" ht="93" customHeight="1" x14ac:dyDescent="0.25">
      <c r="A156" s="83"/>
      <c r="B156" s="83"/>
      <c r="C156" s="83"/>
      <c r="D156" s="81" t="s">
        <v>178</v>
      </c>
      <c r="E156" s="67" t="s">
        <v>213</v>
      </c>
      <c r="F156" s="67" t="s">
        <v>379</v>
      </c>
      <c r="G156" s="260"/>
      <c r="H156" s="260"/>
      <c r="I156" s="260"/>
      <c r="J156" s="260"/>
      <c r="K156" s="273">
        <v>3230.2</v>
      </c>
      <c r="L156" s="273">
        <v>2100</v>
      </c>
      <c r="M156" s="273">
        <v>23</v>
      </c>
      <c r="N156" s="273"/>
    </row>
    <row r="157" spans="1:14" s="71" customFormat="1" ht="104.25" customHeight="1" x14ac:dyDescent="0.25">
      <c r="A157" s="83"/>
      <c r="B157" s="83"/>
      <c r="C157" s="83"/>
      <c r="D157" s="81"/>
      <c r="E157" s="67"/>
      <c r="F157" s="67" t="s">
        <v>380</v>
      </c>
      <c r="G157" s="260"/>
      <c r="H157" s="260"/>
      <c r="I157" s="260"/>
      <c r="J157" s="260"/>
      <c r="K157" s="273">
        <v>3469.8</v>
      </c>
      <c r="L157" s="273">
        <v>2260</v>
      </c>
      <c r="M157" s="273">
        <v>26.9</v>
      </c>
      <c r="N157" s="273"/>
    </row>
    <row r="158" spans="1:14" s="71" customFormat="1" ht="53.25" customHeight="1" x14ac:dyDescent="0.25">
      <c r="A158" s="83"/>
      <c r="B158" s="83"/>
      <c r="C158" s="83"/>
      <c r="D158" s="67"/>
      <c r="E158" s="67" t="s">
        <v>214</v>
      </c>
      <c r="F158" s="67" t="s">
        <v>214</v>
      </c>
      <c r="G158" s="260"/>
      <c r="H158" s="260"/>
      <c r="I158" s="260"/>
      <c r="J158" s="260"/>
      <c r="K158" s="273">
        <v>28.3</v>
      </c>
      <c r="L158" s="273">
        <v>28.3</v>
      </c>
      <c r="M158" s="273"/>
      <c r="N158" s="273"/>
    </row>
    <row r="159" spans="1:14" s="65" customFormat="1" ht="65.25" customHeight="1" x14ac:dyDescent="0.25">
      <c r="A159" s="21"/>
      <c r="B159" s="42"/>
      <c r="C159" s="42"/>
      <c r="D159" s="43"/>
      <c r="E159" s="43"/>
      <c r="F159" s="215" t="s">
        <v>215</v>
      </c>
      <c r="G159" s="270">
        <f>G160</f>
        <v>3289.3999999999996</v>
      </c>
      <c r="H159" s="270">
        <f>H160</f>
        <v>2999.8</v>
      </c>
      <c r="I159" s="270">
        <f>I160</f>
        <v>2952.2000000000003</v>
      </c>
      <c r="J159" s="270">
        <f>I159/G159*100</f>
        <v>89.748890375144413</v>
      </c>
      <c r="K159" s="270"/>
      <c r="L159" s="270"/>
      <c r="M159" s="270"/>
      <c r="N159" s="270"/>
    </row>
    <row r="160" spans="1:14" s="10" customFormat="1" ht="34.5" customHeight="1" x14ac:dyDescent="0.25">
      <c r="A160" s="11" t="s">
        <v>216</v>
      </c>
      <c r="B160" s="11" t="s">
        <v>217</v>
      </c>
      <c r="C160" s="42">
        <v>490</v>
      </c>
      <c r="D160" s="43" t="s">
        <v>194</v>
      </c>
      <c r="E160" s="44"/>
      <c r="F160" s="63"/>
      <c r="G160" s="283">
        <f>SUM(G161:G166)</f>
        <v>3289.3999999999996</v>
      </c>
      <c r="H160" s="260">
        <f>SUM(H161:H166)</f>
        <v>2999.8</v>
      </c>
      <c r="I160" s="260">
        <f>SUM(I161:I166)</f>
        <v>2952.2000000000003</v>
      </c>
      <c r="J160" s="260"/>
      <c r="K160" s="260">
        <f>SUM(K161:K162)</f>
        <v>0</v>
      </c>
      <c r="L160" s="260"/>
      <c r="M160" s="260"/>
      <c r="N160" s="260"/>
    </row>
    <row r="161" spans="1:14" s="10" customFormat="1" ht="97.5" customHeight="1" x14ac:dyDescent="0.25">
      <c r="A161" s="11"/>
      <c r="B161" s="11"/>
      <c r="C161" s="42"/>
      <c r="D161" s="80" t="s">
        <v>178</v>
      </c>
      <c r="E161" s="44"/>
      <c r="F161" s="45" t="s">
        <v>366</v>
      </c>
      <c r="G161" s="260">
        <v>78.2</v>
      </c>
      <c r="H161" s="260">
        <v>39.799999999999997</v>
      </c>
      <c r="I161" s="267">
        <v>17.399999999999999</v>
      </c>
      <c r="J161" s="260"/>
      <c r="K161" s="260"/>
      <c r="L161" s="260"/>
      <c r="M161" s="260"/>
      <c r="N161" s="260"/>
    </row>
    <row r="162" spans="1:14" s="10" customFormat="1" ht="102" customHeight="1" x14ac:dyDescent="0.25">
      <c r="A162" s="11"/>
      <c r="B162" s="11"/>
      <c r="C162" s="42"/>
      <c r="D162" s="43"/>
      <c r="E162" s="44"/>
      <c r="F162" s="16" t="s">
        <v>276</v>
      </c>
      <c r="G162" s="260">
        <v>2420</v>
      </c>
      <c r="H162" s="260">
        <v>2420</v>
      </c>
      <c r="I162" s="267">
        <v>2420</v>
      </c>
      <c r="J162" s="260"/>
      <c r="K162" s="260"/>
      <c r="L162" s="260"/>
      <c r="M162" s="260"/>
      <c r="N162" s="260"/>
    </row>
    <row r="163" spans="1:14" s="10" customFormat="1" ht="87" customHeight="1" x14ac:dyDescent="0.25">
      <c r="A163" s="11"/>
      <c r="B163" s="11"/>
      <c r="C163" s="42"/>
      <c r="D163" s="43"/>
      <c r="E163" s="44"/>
      <c r="F163" s="16" t="s">
        <v>385</v>
      </c>
      <c r="G163" s="260">
        <v>251.2</v>
      </c>
      <c r="H163" s="260">
        <v>0</v>
      </c>
      <c r="I163" s="267">
        <v>0</v>
      </c>
      <c r="J163" s="260"/>
      <c r="K163" s="260"/>
      <c r="L163" s="260"/>
      <c r="M163" s="260"/>
      <c r="N163" s="260"/>
    </row>
    <row r="164" spans="1:14" s="10" customFormat="1" ht="87" customHeight="1" x14ac:dyDescent="0.25">
      <c r="A164" s="11"/>
      <c r="B164" s="11"/>
      <c r="C164" s="42"/>
      <c r="D164" s="43"/>
      <c r="E164" s="44"/>
      <c r="F164" s="16" t="s">
        <v>386</v>
      </c>
      <c r="G164" s="260">
        <v>195</v>
      </c>
      <c r="H164" s="260">
        <v>195</v>
      </c>
      <c r="I164" s="267">
        <v>195</v>
      </c>
      <c r="J164" s="260"/>
      <c r="K164" s="260"/>
      <c r="L164" s="260"/>
      <c r="M164" s="260"/>
      <c r="N164" s="260"/>
    </row>
    <row r="165" spans="1:14" s="10" customFormat="1" ht="121.5" customHeight="1" x14ac:dyDescent="0.25">
      <c r="A165" s="11"/>
      <c r="B165" s="11"/>
      <c r="C165" s="42"/>
      <c r="D165" s="43"/>
      <c r="E165" s="44"/>
      <c r="F165" s="16" t="s">
        <v>343</v>
      </c>
      <c r="G165" s="260">
        <v>195</v>
      </c>
      <c r="H165" s="260">
        <v>195</v>
      </c>
      <c r="I165" s="267">
        <f>58.2+35.2+77.6</f>
        <v>171</v>
      </c>
      <c r="J165" s="260"/>
      <c r="K165" s="260"/>
      <c r="L165" s="260"/>
      <c r="M165" s="260"/>
      <c r="N165" s="260"/>
    </row>
    <row r="166" spans="1:14" s="10" customFormat="1" ht="86.25" customHeight="1" x14ac:dyDescent="0.25">
      <c r="A166" s="11"/>
      <c r="B166" s="11"/>
      <c r="C166" s="42"/>
      <c r="D166" s="43"/>
      <c r="E166" s="44"/>
      <c r="F166" s="16" t="s">
        <v>419</v>
      </c>
      <c r="G166" s="260">
        <v>150</v>
      </c>
      <c r="H166" s="260">
        <v>150</v>
      </c>
      <c r="I166" s="267">
        <v>148.80000000000001</v>
      </c>
      <c r="J166" s="260"/>
      <c r="K166" s="260"/>
      <c r="L166" s="260"/>
      <c r="M166" s="260"/>
      <c r="N166" s="260"/>
    </row>
    <row r="167" spans="1:14" s="242" customFormat="1" ht="55.5" customHeight="1" x14ac:dyDescent="0.25">
      <c r="A167" s="239"/>
      <c r="B167" s="240"/>
      <c r="C167" s="240"/>
      <c r="D167" s="211"/>
      <c r="E167" s="211"/>
      <c r="F167" s="210" t="s">
        <v>218</v>
      </c>
      <c r="G167" s="270">
        <f>G168+G169</f>
        <v>240</v>
      </c>
      <c r="H167" s="270">
        <f t="shared" ref="H167:I167" si="12">H168+H169</f>
        <v>240</v>
      </c>
      <c r="I167" s="270">
        <f t="shared" si="12"/>
        <v>227.5</v>
      </c>
      <c r="J167" s="270">
        <f>I167/G167*100</f>
        <v>94.791666666666657</v>
      </c>
      <c r="K167" s="270">
        <f>K168+K169</f>
        <v>435</v>
      </c>
      <c r="L167" s="270">
        <f>L168+L169</f>
        <v>435</v>
      </c>
      <c r="M167" s="270">
        <f>M168+M169</f>
        <v>0</v>
      </c>
      <c r="N167" s="270">
        <f>M167/K167*100</f>
        <v>0</v>
      </c>
    </row>
    <row r="168" spans="1:14" s="65" customFormat="1" ht="69" customHeight="1" x14ac:dyDescent="0.25">
      <c r="A168" s="11" t="s">
        <v>188</v>
      </c>
      <c r="B168" s="11" t="s">
        <v>189</v>
      </c>
      <c r="C168" s="11" t="s">
        <v>190</v>
      </c>
      <c r="D168" s="43" t="s">
        <v>191</v>
      </c>
      <c r="E168" s="67"/>
      <c r="F168" s="43" t="s">
        <v>320</v>
      </c>
      <c r="G168" s="261"/>
      <c r="H168" s="261"/>
      <c r="I168" s="261"/>
      <c r="J168" s="261"/>
      <c r="K168" s="260">
        <v>435</v>
      </c>
      <c r="L168" s="260">
        <v>435</v>
      </c>
      <c r="M168" s="260">
        <v>0</v>
      </c>
      <c r="N168" s="261"/>
    </row>
    <row r="169" spans="1:14" s="65" customFormat="1" ht="78" customHeight="1" x14ac:dyDescent="0.25">
      <c r="A169" s="42">
        <v>4016060</v>
      </c>
      <c r="B169" s="21" t="s">
        <v>199</v>
      </c>
      <c r="C169" s="21" t="s">
        <v>190</v>
      </c>
      <c r="D169" s="67" t="s">
        <v>192</v>
      </c>
      <c r="E169" s="43"/>
      <c r="F169" s="16" t="s">
        <v>219</v>
      </c>
      <c r="G169" s="281">
        <v>240</v>
      </c>
      <c r="H169" s="278">
        <f>211.7+28.3</f>
        <v>240</v>
      </c>
      <c r="I169" s="267">
        <f>211.6+15.9</f>
        <v>227.5</v>
      </c>
      <c r="J169" s="260"/>
      <c r="K169" s="260"/>
      <c r="L169" s="260"/>
      <c r="M169" s="260"/>
      <c r="N169" s="260"/>
    </row>
    <row r="170" spans="1:14" s="242" customFormat="1" ht="58.5" customHeight="1" x14ac:dyDescent="0.25">
      <c r="A170" s="243"/>
      <c r="B170" s="243"/>
      <c r="C170" s="243"/>
      <c r="D170" s="244"/>
      <c r="E170" s="210"/>
      <c r="F170" s="215" t="s">
        <v>277</v>
      </c>
      <c r="G170" s="270">
        <f>G171</f>
        <v>9</v>
      </c>
      <c r="H170" s="270">
        <f t="shared" ref="H170:I170" si="13">H171</f>
        <v>9</v>
      </c>
      <c r="I170" s="270">
        <f t="shared" si="13"/>
        <v>0.6</v>
      </c>
      <c r="J170" s="270"/>
      <c r="K170" s="270"/>
      <c r="L170" s="270"/>
      <c r="M170" s="270"/>
      <c r="N170" s="270"/>
    </row>
    <row r="171" spans="1:14" s="65" customFormat="1" ht="42.75" customHeight="1" x14ac:dyDescent="0.25">
      <c r="A171" s="11" t="s">
        <v>216</v>
      </c>
      <c r="B171" s="11" t="s">
        <v>217</v>
      </c>
      <c r="C171" s="11" t="s">
        <v>37</v>
      </c>
      <c r="D171" s="85" t="s">
        <v>220</v>
      </c>
      <c r="E171" s="43"/>
      <c r="F171" s="43" t="s">
        <v>221</v>
      </c>
      <c r="G171" s="260">
        <v>9</v>
      </c>
      <c r="H171" s="260">
        <v>9</v>
      </c>
      <c r="I171" s="267">
        <v>0.6</v>
      </c>
      <c r="J171" s="260"/>
      <c r="K171" s="260"/>
      <c r="L171" s="260"/>
      <c r="M171" s="260"/>
      <c r="N171" s="260"/>
    </row>
    <row r="172" spans="1:14" s="65" customFormat="1" ht="53.25" customHeight="1" x14ac:dyDescent="0.25">
      <c r="A172" s="42"/>
      <c r="B172" s="21"/>
      <c r="C172" s="21"/>
      <c r="D172" s="67"/>
      <c r="E172" s="43"/>
      <c r="F172" s="215" t="s">
        <v>222</v>
      </c>
      <c r="G172" s="270">
        <f>G173</f>
        <v>130</v>
      </c>
      <c r="H172" s="270">
        <f t="shared" ref="H172:I172" si="14">H173</f>
        <v>130</v>
      </c>
      <c r="I172" s="270">
        <f t="shared" si="14"/>
        <v>18.100000000000001</v>
      </c>
      <c r="J172" s="270">
        <f>I172/G172*100</f>
        <v>13.923076923076923</v>
      </c>
      <c r="K172" s="270">
        <f>K174</f>
        <v>70</v>
      </c>
      <c r="L172" s="270">
        <f>L174</f>
        <v>70</v>
      </c>
      <c r="M172" s="270">
        <v>0</v>
      </c>
      <c r="N172" s="270">
        <f>M172/K172*100</f>
        <v>0</v>
      </c>
    </row>
    <row r="173" spans="1:14" s="10" customFormat="1" ht="66.75" customHeight="1" x14ac:dyDescent="0.25">
      <c r="A173" s="42">
        <v>4016060</v>
      </c>
      <c r="B173" s="21" t="s">
        <v>199</v>
      </c>
      <c r="C173" s="21" t="s">
        <v>190</v>
      </c>
      <c r="D173" s="67" t="s">
        <v>192</v>
      </c>
      <c r="E173" s="44"/>
      <c r="F173" s="16" t="s">
        <v>267</v>
      </c>
      <c r="G173" s="283">
        <v>130</v>
      </c>
      <c r="H173" s="260">
        <f>30+30+30+40</f>
        <v>130</v>
      </c>
      <c r="I173" s="267">
        <f>18.1</f>
        <v>18.100000000000001</v>
      </c>
      <c r="J173" s="260"/>
      <c r="K173" s="260"/>
      <c r="L173" s="260"/>
      <c r="M173" s="260"/>
      <c r="N173" s="260"/>
    </row>
    <row r="174" spans="1:14" s="10" customFormat="1" ht="81.75" customHeight="1" x14ac:dyDescent="0.25">
      <c r="A174" s="42"/>
      <c r="B174" s="21"/>
      <c r="C174" s="21"/>
      <c r="D174" s="67"/>
      <c r="E174" s="44"/>
      <c r="F174" s="16" t="s">
        <v>223</v>
      </c>
      <c r="G174" s="260"/>
      <c r="H174" s="260"/>
      <c r="I174" s="260"/>
      <c r="J174" s="260"/>
      <c r="K174" s="260">
        <v>70</v>
      </c>
      <c r="L174" s="260">
        <v>70</v>
      </c>
      <c r="M174" s="267">
        <v>0</v>
      </c>
      <c r="N174" s="260"/>
    </row>
    <row r="175" spans="1:14" s="65" customFormat="1" ht="66.75" customHeight="1" x14ac:dyDescent="0.25">
      <c r="A175" s="42"/>
      <c r="B175" s="21"/>
      <c r="C175" s="21"/>
      <c r="D175" s="43"/>
      <c r="E175" s="43"/>
      <c r="F175" s="215" t="s">
        <v>278</v>
      </c>
      <c r="G175" s="270">
        <f>G176+G177+G178+G179</f>
        <v>603.9</v>
      </c>
      <c r="H175" s="270">
        <f>H176+H177+H178+H179</f>
        <v>394.9</v>
      </c>
      <c r="I175" s="270">
        <f>I176+I177+I178+I179</f>
        <v>198.9</v>
      </c>
      <c r="J175" s="270">
        <f>I175/G175*100</f>
        <v>32.935916542473919</v>
      </c>
      <c r="K175" s="270">
        <f>-K176+K177+K178</f>
        <v>42.87</v>
      </c>
      <c r="L175" s="270">
        <f>-L176+L177+L178</f>
        <v>42.87</v>
      </c>
      <c r="M175" s="270">
        <f>-M176+M177+M178</f>
        <v>42.87</v>
      </c>
      <c r="N175" s="270">
        <f>M175/K175*100</f>
        <v>100</v>
      </c>
    </row>
    <row r="176" spans="1:14" s="65" customFormat="1" ht="102.75" customHeight="1" x14ac:dyDescent="0.25">
      <c r="A176" s="42">
        <v>4016060</v>
      </c>
      <c r="B176" s="21" t="s">
        <v>199</v>
      </c>
      <c r="C176" s="21" t="s">
        <v>190</v>
      </c>
      <c r="D176" s="43" t="s">
        <v>224</v>
      </c>
      <c r="E176" s="43"/>
      <c r="F176" s="45" t="s">
        <v>402</v>
      </c>
      <c r="G176" s="281">
        <v>400</v>
      </c>
      <c r="H176" s="278">
        <f>232+32+32</f>
        <v>296</v>
      </c>
      <c r="I176" s="267">
        <f>129.8+7.7</f>
        <v>137.5</v>
      </c>
      <c r="J176" s="260"/>
      <c r="K176" s="260"/>
      <c r="L176" s="260"/>
      <c r="M176" s="260"/>
      <c r="N176" s="260"/>
    </row>
    <row r="177" spans="1:14" s="65" customFormat="1" ht="57" customHeight="1" x14ac:dyDescent="0.25">
      <c r="A177" s="42">
        <v>4017420</v>
      </c>
      <c r="B177" s="21" t="s">
        <v>217</v>
      </c>
      <c r="C177" s="21" t="s">
        <v>37</v>
      </c>
      <c r="D177" s="85" t="s">
        <v>194</v>
      </c>
      <c r="E177" s="43"/>
      <c r="F177" s="45" t="s">
        <v>226</v>
      </c>
      <c r="G177" s="278">
        <v>200</v>
      </c>
      <c r="H177" s="278">
        <f>78+17</f>
        <v>95</v>
      </c>
      <c r="I177" s="267">
        <f>45.6+11.8+0.1</f>
        <v>57.500000000000007</v>
      </c>
      <c r="J177" s="260"/>
      <c r="K177" s="260"/>
      <c r="L177" s="260"/>
      <c r="M177" s="260"/>
      <c r="N177" s="260"/>
    </row>
    <row r="178" spans="1:14" s="65" customFormat="1" ht="36.75" customHeight="1" x14ac:dyDescent="0.25">
      <c r="A178" s="42"/>
      <c r="B178" s="21"/>
      <c r="C178" s="21"/>
      <c r="D178" s="85"/>
      <c r="E178" s="43"/>
      <c r="F178" s="45" t="s">
        <v>367</v>
      </c>
      <c r="G178" s="278"/>
      <c r="H178" s="278"/>
      <c r="I178" s="278"/>
      <c r="J178" s="260"/>
      <c r="K178" s="283">
        <v>42.87</v>
      </c>
      <c r="L178" s="260">
        <v>42.87</v>
      </c>
      <c r="M178" s="267">
        <v>42.87</v>
      </c>
      <c r="N178" s="260"/>
    </row>
    <row r="179" spans="1:14" s="65" customFormat="1" ht="59.25" customHeight="1" x14ac:dyDescent="0.25">
      <c r="A179" s="42"/>
      <c r="B179" s="21"/>
      <c r="C179" s="21"/>
      <c r="D179" s="85"/>
      <c r="E179" s="43"/>
      <c r="F179" s="45" t="s">
        <v>368</v>
      </c>
      <c r="G179" s="260">
        <v>3.9</v>
      </c>
      <c r="H179" s="260">
        <v>3.9</v>
      </c>
      <c r="I179" s="267">
        <v>3.9</v>
      </c>
      <c r="J179" s="260"/>
      <c r="K179" s="260"/>
      <c r="L179" s="260"/>
      <c r="M179" s="260"/>
      <c r="N179" s="260"/>
    </row>
    <row r="180" spans="1:14" s="242" customFormat="1" ht="44.25" customHeight="1" x14ac:dyDescent="0.25">
      <c r="A180" s="239"/>
      <c r="B180" s="240" t="s">
        <v>422</v>
      </c>
      <c r="C180" s="240" t="s">
        <v>423</v>
      </c>
      <c r="D180" s="244" t="s">
        <v>424</v>
      </c>
      <c r="E180" s="210"/>
      <c r="F180" s="245" t="s">
        <v>345</v>
      </c>
      <c r="G180" s="271">
        <f>G182+G181</f>
        <v>300</v>
      </c>
      <c r="H180" s="271">
        <f>H182+H181</f>
        <v>300</v>
      </c>
      <c r="I180" s="271">
        <f t="shared" ref="I180" si="15">I182</f>
        <v>0</v>
      </c>
      <c r="J180" s="271">
        <f>I180/G180*100</f>
        <v>0</v>
      </c>
      <c r="K180" s="271">
        <f>K181+K182</f>
        <v>9.5</v>
      </c>
      <c r="L180" s="271">
        <f>L181+L182</f>
        <v>9.5</v>
      </c>
      <c r="M180" s="271">
        <f>M181+M182</f>
        <v>0</v>
      </c>
      <c r="N180" s="271">
        <f>M180/K180*100</f>
        <v>0</v>
      </c>
    </row>
    <row r="181" spans="1:14" s="65" customFormat="1" ht="47.25" customHeight="1" x14ac:dyDescent="0.25">
      <c r="A181" s="42"/>
      <c r="B181" s="21"/>
      <c r="C181" s="21"/>
      <c r="D181" s="85"/>
      <c r="E181" s="43"/>
      <c r="F181" s="45" t="s">
        <v>420</v>
      </c>
      <c r="G181" s="260"/>
      <c r="H181" s="260"/>
      <c r="I181" s="260"/>
      <c r="J181" s="260"/>
      <c r="K181" s="283">
        <v>9.5</v>
      </c>
      <c r="L181" s="260">
        <v>9.5</v>
      </c>
      <c r="M181" s="260">
        <v>0</v>
      </c>
      <c r="N181" s="260"/>
    </row>
    <row r="182" spans="1:14" s="65" customFormat="1" ht="32.25" customHeight="1" x14ac:dyDescent="0.25">
      <c r="A182" s="42"/>
      <c r="B182" s="21"/>
      <c r="C182" s="21"/>
      <c r="D182" s="85"/>
      <c r="E182" s="43"/>
      <c r="F182" s="45" t="s">
        <v>370</v>
      </c>
      <c r="G182" s="283">
        <v>300</v>
      </c>
      <c r="H182" s="260">
        <v>300</v>
      </c>
      <c r="I182" s="260">
        <v>0</v>
      </c>
      <c r="J182" s="260"/>
      <c r="K182" s="260"/>
      <c r="L182" s="260"/>
      <c r="M182" s="260"/>
      <c r="N182" s="260"/>
    </row>
    <row r="183" spans="1:14" s="249" customFormat="1" ht="56.25" customHeight="1" x14ac:dyDescent="0.25">
      <c r="A183" s="246"/>
      <c r="B183" s="247"/>
      <c r="C183" s="247"/>
      <c r="D183" s="210"/>
      <c r="E183" s="214"/>
      <c r="F183" s="248" t="s">
        <v>291</v>
      </c>
      <c r="G183" s="270">
        <f>G184+G185+G188</f>
        <v>1031.9000000000001</v>
      </c>
      <c r="H183" s="270">
        <f>H184+H185+H188</f>
        <v>1031.9000000000001</v>
      </c>
      <c r="I183" s="270">
        <f>I184+I185+I188</f>
        <v>1014</v>
      </c>
      <c r="J183" s="270">
        <f>I183/G183*100</f>
        <v>98.265335788351564</v>
      </c>
      <c r="K183" s="270">
        <f>K184+K185+K188</f>
        <v>4160</v>
      </c>
      <c r="L183" s="270">
        <f>L184+L185+L188</f>
        <v>1888</v>
      </c>
      <c r="M183" s="270">
        <f>M184+M185+M188</f>
        <v>505.41912000000002</v>
      </c>
      <c r="N183" s="270">
        <f>M183/K183*100</f>
        <v>12.149498076923077</v>
      </c>
    </row>
    <row r="184" spans="1:14" s="19" customFormat="1" ht="68.25" customHeight="1" x14ac:dyDescent="0.25">
      <c r="A184" s="42">
        <v>4016010</v>
      </c>
      <c r="B184" s="24" t="s">
        <v>227</v>
      </c>
      <c r="C184" s="24" t="s">
        <v>203</v>
      </c>
      <c r="D184" s="43" t="s">
        <v>228</v>
      </c>
      <c r="E184" s="44"/>
      <c r="F184" s="88" t="s">
        <v>229</v>
      </c>
      <c r="G184" s="260">
        <v>1031.9000000000001</v>
      </c>
      <c r="H184" s="260">
        <v>1031.9000000000001</v>
      </c>
      <c r="I184" s="260">
        <v>1014</v>
      </c>
      <c r="J184" s="260"/>
      <c r="K184" s="260"/>
      <c r="L184" s="260"/>
      <c r="M184" s="260"/>
      <c r="N184" s="260"/>
    </row>
    <row r="185" spans="1:14" s="19" customFormat="1" ht="39" customHeight="1" x14ac:dyDescent="0.25">
      <c r="A185" s="11" t="s">
        <v>181</v>
      </c>
      <c r="B185" s="11" t="s">
        <v>182</v>
      </c>
      <c r="C185" s="21" t="s">
        <v>203</v>
      </c>
      <c r="D185" s="67" t="s">
        <v>183</v>
      </c>
      <c r="E185" s="44"/>
      <c r="F185" s="86"/>
      <c r="G185" s="260">
        <f>G186</f>
        <v>0</v>
      </c>
      <c r="H185" s="260"/>
      <c r="I185" s="260"/>
      <c r="J185" s="260"/>
      <c r="K185" s="260">
        <f>SUM(K186:K187)</f>
        <v>2610</v>
      </c>
      <c r="L185" s="260">
        <f>SUM(L186:L187)</f>
        <v>1138</v>
      </c>
      <c r="M185" s="260">
        <f>SUM(M186:M187)</f>
        <v>296.16964999999999</v>
      </c>
      <c r="N185" s="260">
        <f>M185/K185*100</f>
        <v>11.347496168582374</v>
      </c>
    </row>
    <row r="186" spans="1:14" s="227" customFormat="1" ht="78" customHeight="1" x14ac:dyDescent="0.25">
      <c r="A186" s="154" t="s">
        <v>230</v>
      </c>
      <c r="B186" s="154" t="s">
        <v>279</v>
      </c>
      <c r="C186" s="24" t="s">
        <v>203</v>
      </c>
      <c r="D186" s="43" t="s">
        <v>231</v>
      </c>
      <c r="E186" s="43" t="s">
        <v>231</v>
      </c>
      <c r="F186" s="67" t="s">
        <v>268</v>
      </c>
      <c r="G186" s="260"/>
      <c r="H186" s="260"/>
      <c r="I186" s="260"/>
      <c r="J186" s="260"/>
      <c r="K186" s="273">
        <f>1710</f>
        <v>1710</v>
      </c>
      <c r="L186" s="273">
        <v>613</v>
      </c>
      <c r="M186" s="273"/>
      <c r="N186" s="273"/>
    </row>
    <row r="187" spans="1:14" s="227" customFormat="1" ht="54" customHeight="1" x14ac:dyDescent="0.25">
      <c r="A187" s="154"/>
      <c r="B187" s="154"/>
      <c r="C187" s="24"/>
      <c r="D187" s="43"/>
      <c r="E187" s="43"/>
      <c r="F187" s="67" t="s">
        <v>269</v>
      </c>
      <c r="G187" s="260"/>
      <c r="H187" s="260"/>
      <c r="I187" s="260"/>
      <c r="J187" s="260"/>
      <c r="K187" s="273">
        <v>900</v>
      </c>
      <c r="L187" s="273">
        <v>525</v>
      </c>
      <c r="M187" s="273">
        <v>296.16964999999999</v>
      </c>
      <c r="N187" s="273"/>
    </row>
    <row r="188" spans="1:14" s="227" customFormat="1" ht="35.25" customHeight="1" x14ac:dyDescent="0.25">
      <c r="A188" s="89">
        <v>4016310</v>
      </c>
      <c r="B188" s="24" t="s">
        <v>36</v>
      </c>
      <c r="C188" s="24" t="s">
        <v>37</v>
      </c>
      <c r="D188" s="43" t="s">
        <v>232</v>
      </c>
      <c r="E188" s="44"/>
      <c r="F188" s="43"/>
      <c r="G188" s="260">
        <f>SUM(G189:G190)</f>
        <v>0</v>
      </c>
      <c r="H188" s="260"/>
      <c r="I188" s="260"/>
      <c r="J188" s="260"/>
      <c r="K188" s="260">
        <f>SUM(K189:K190)</f>
        <v>1550</v>
      </c>
      <c r="L188" s="260">
        <f>SUM(L189:L190)</f>
        <v>750</v>
      </c>
      <c r="M188" s="260">
        <f>SUM(M189:M190)</f>
        <v>209.24947</v>
      </c>
      <c r="N188" s="260">
        <f>M188/K188*100</f>
        <v>13.499965806451614</v>
      </c>
    </row>
    <row r="189" spans="1:14" s="19" customFormat="1" ht="37.5" customHeight="1" x14ac:dyDescent="0.25">
      <c r="A189" s="89"/>
      <c r="B189" s="24"/>
      <c r="C189" s="24"/>
      <c r="D189" s="80" t="s">
        <v>178</v>
      </c>
      <c r="E189" s="44"/>
      <c r="F189" s="43" t="s">
        <v>270</v>
      </c>
      <c r="G189" s="260"/>
      <c r="H189" s="260"/>
      <c r="I189" s="260"/>
      <c r="J189" s="260"/>
      <c r="K189" s="260">
        <v>750</v>
      </c>
      <c r="L189" s="260">
        <v>750</v>
      </c>
      <c r="M189" s="260">
        <v>209.24947</v>
      </c>
      <c r="N189" s="260"/>
    </row>
    <row r="190" spans="1:14" s="19" customFormat="1" ht="72" customHeight="1" x14ac:dyDescent="0.25">
      <c r="A190" s="89"/>
      <c r="B190" s="24"/>
      <c r="C190" s="24"/>
      <c r="D190" s="43"/>
      <c r="E190" s="44"/>
      <c r="F190" s="43" t="s">
        <v>271</v>
      </c>
      <c r="G190" s="260"/>
      <c r="H190" s="260"/>
      <c r="I190" s="260"/>
      <c r="J190" s="260"/>
      <c r="K190" s="260">
        <v>800</v>
      </c>
      <c r="L190" s="260"/>
      <c r="M190" s="260"/>
      <c r="N190" s="260"/>
    </row>
    <row r="191" spans="1:14" s="249" customFormat="1" ht="52.5" customHeight="1" x14ac:dyDescent="0.25">
      <c r="A191" s="250">
        <v>4016052</v>
      </c>
      <c r="B191" s="247" t="s">
        <v>189</v>
      </c>
      <c r="C191" s="247" t="s">
        <v>190</v>
      </c>
      <c r="D191" s="210" t="s">
        <v>191</v>
      </c>
      <c r="E191" s="214"/>
      <c r="F191" s="251" t="s">
        <v>322</v>
      </c>
      <c r="G191" s="270">
        <f>G192</f>
        <v>15</v>
      </c>
      <c r="H191" s="270">
        <f t="shared" ref="H191:I191" si="16">H192</f>
        <v>15</v>
      </c>
      <c r="I191" s="270">
        <f t="shared" si="16"/>
        <v>6.8</v>
      </c>
      <c r="J191" s="271">
        <f>I191/G191*100</f>
        <v>45.333333333333329</v>
      </c>
      <c r="K191" s="271"/>
      <c r="L191" s="271"/>
      <c r="M191" s="271"/>
      <c r="N191" s="271"/>
    </row>
    <row r="192" spans="1:14" s="19" customFormat="1" ht="35.25" customHeight="1" x14ac:dyDescent="0.25">
      <c r="A192" s="89"/>
      <c r="B192" s="24"/>
      <c r="C192" s="24"/>
      <c r="D192" s="43"/>
      <c r="E192" s="44"/>
      <c r="F192" s="43" t="s">
        <v>321</v>
      </c>
      <c r="G192" s="260">
        <v>15</v>
      </c>
      <c r="H192" s="260">
        <v>15</v>
      </c>
      <c r="I192" s="260">
        <v>6.8</v>
      </c>
      <c r="J192" s="260"/>
      <c r="K192" s="260"/>
      <c r="L192" s="260"/>
      <c r="M192" s="260"/>
      <c r="N192" s="260"/>
    </row>
    <row r="193" spans="1:14" s="249" customFormat="1" ht="66" customHeight="1" x14ac:dyDescent="0.25">
      <c r="A193" s="250">
        <v>4017810</v>
      </c>
      <c r="B193" s="247" t="s">
        <v>242</v>
      </c>
      <c r="C193" s="247" t="s">
        <v>243</v>
      </c>
      <c r="D193" s="210" t="s">
        <v>244</v>
      </c>
      <c r="E193" s="214"/>
      <c r="F193" s="288" t="s">
        <v>324</v>
      </c>
      <c r="G193" s="271">
        <f>G194</f>
        <v>150</v>
      </c>
      <c r="H193" s="271">
        <f t="shared" ref="H193:I193" si="17">H194</f>
        <v>150</v>
      </c>
      <c r="I193" s="271">
        <f t="shared" si="17"/>
        <v>0</v>
      </c>
      <c r="J193" s="271">
        <f>I193/G193*100</f>
        <v>0</v>
      </c>
      <c r="K193" s="271"/>
      <c r="L193" s="271"/>
      <c r="M193" s="271"/>
      <c r="N193" s="271"/>
    </row>
    <row r="194" spans="1:14" s="227" customFormat="1" ht="153.75" customHeight="1" x14ac:dyDescent="0.25">
      <c r="A194" s="89"/>
      <c r="B194" s="24"/>
      <c r="C194" s="24"/>
      <c r="D194" s="43"/>
      <c r="E194" s="44"/>
      <c r="F194" s="43" t="s">
        <v>323</v>
      </c>
      <c r="G194" s="260">
        <v>150</v>
      </c>
      <c r="H194" s="260">
        <v>150</v>
      </c>
      <c r="I194" s="260">
        <v>0</v>
      </c>
      <c r="J194" s="260">
        <f>I194/G194*100</f>
        <v>0</v>
      </c>
      <c r="K194" s="260"/>
      <c r="L194" s="260"/>
      <c r="M194" s="260"/>
      <c r="N194" s="260"/>
    </row>
    <row r="195" spans="1:14" s="19" customFormat="1" ht="36" customHeight="1" x14ac:dyDescent="0.25">
      <c r="A195" s="77"/>
      <c r="B195" s="24"/>
      <c r="C195" s="24"/>
      <c r="D195" s="198" t="s">
        <v>50</v>
      </c>
      <c r="E195" s="196"/>
      <c r="F195" s="204"/>
      <c r="G195" s="262">
        <f>G104+G142+G159+G167+G170+G172+G175+G183+G191+G193+G180</f>
        <v>25866.1</v>
      </c>
      <c r="H195" s="262">
        <f>H104+H142+H159+H167+H170+H172+H175+H183+H191+H193+H180</f>
        <v>17742.510999999999</v>
      </c>
      <c r="I195" s="262">
        <f>I104+I142+I159+I167+I170+I172+I175+I183+I191+I193+I180</f>
        <v>14647.000000000002</v>
      </c>
      <c r="J195" s="262">
        <f>I195/G195*100</f>
        <v>56.626240523310443</v>
      </c>
      <c r="K195" s="262">
        <f>K104+K142+K159+K167+K170+K172+K175+K183+K191+K193+K180</f>
        <v>37864.534</v>
      </c>
      <c r="L195" s="262">
        <f>L104+L142+L159+L167+L170+L172+L175+L183+L191+L193+L180</f>
        <v>21000.134000000002</v>
      </c>
      <c r="M195" s="262">
        <f>M104+M142+M159+M167+M170+M172+M175+M183+M191+M193+M180</f>
        <v>5889.1580799999992</v>
      </c>
      <c r="N195" s="262">
        <f>M195/K195*100</f>
        <v>15.553230048995188</v>
      </c>
    </row>
    <row r="196" spans="1:14" s="19" customFormat="1" ht="109.5" customHeight="1" x14ac:dyDescent="0.25">
      <c r="A196" s="169">
        <v>6000000</v>
      </c>
      <c r="B196" s="177"/>
      <c r="C196" s="177"/>
      <c r="D196" s="186" t="s">
        <v>233</v>
      </c>
      <c r="E196" s="190"/>
      <c r="F196" s="191"/>
      <c r="G196" s="267"/>
      <c r="H196" s="267"/>
      <c r="I196" s="267"/>
      <c r="J196" s="267"/>
      <c r="K196" s="267"/>
      <c r="L196" s="267"/>
      <c r="M196" s="267"/>
      <c r="N196" s="267"/>
    </row>
    <row r="197" spans="1:14" s="19" customFormat="1" ht="81.75" customHeight="1" x14ac:dyDescent="0.25">
      <c r="A197" s="187">
        <v>6010000</v>
      </c>
      <c r="B197" s="177"/>
      <c r="C197" s="177"/>
      <c r="D197" s="188" t="s">
        <v>233</v>
      </c>
      <c r="E197" s="190"/>
      <c r="F197" s="191"/>
      <c r="G197" s="267"/>
      <c r="H197" s="267"/>
      <c r="I197" s="267"/>
      <c r="J197" s="267"/>
      <c r="K197" s="267"/>
      <c r="L197" s="267"/>
      <c r="M197" s="267"/>
      <c r="N197" s="267"/>
    </row>
    <row r="198" spans="1:14" s="19" customFormat="1" ht="44.25" customHeight="1" x14ac:dyDescent="0.25">
      <c r="A198" s="77"/>
      <c r="B198" s="24"/>
      <c r="C198" s="24"/>
      <c r="D198" s="44"/>
      <c r="E198" s="44"/>
      <c r="F198" s="216" t="s">
        <v>272</v>
      </c>
      <c r="G198" s="274">
        <f>G199+G200+G201+G202</f>
        <v>320</v>
      </c>
      <c r="H198" s="274">
        <f t="shared" ref="H198:I198" si="18">H199+H200+H201+H202</f>
        <v>201.5</v>
      </c>
      <c r="I198" s="274">
        <f t="shared" si="18"/>
        <v>4.0999999999999996</v>
      </c>
      <c r="J198" s="274">
        <f>I198/G198*100</f>
        <v>1.28125</v>
      </c>
      <c r="K198" s="274">
        <f t="shared" ref="K198:M198" si="19">K199+K200+K202</f>
        <v>500</v>
      </c>
      <c r="L198" s="274">
        <f t="shared" si="19"/>
        <v>0</v>
      </c>
      <c r="M198" s="274">
        <f t="shared" si="19"/>
        <v>0</v>
      </c>
      <c r="N198" s="274">
        <f>M198/K198*100</f>
        <v>0</v>
      </c>
    </row>
    <row r="199" spans="1:14" s="19" customFormat="1" ht="63" customHeight="1" x14ac:dyDescent="0.25">
      <c r="A199" s="11" t="s">
        <v>234</v>
      </c>
      <c r="B199" s="11" t="s">
        <v>235</v>
      </c>
      <c r="C199" s="24" t="s">
        <v>236</v>
      </c>
      <c r="D199" s="43" t="s">
        <v>237</v>
      </c>
      <c r="E199" s="44"/>
      <c r="F199" s="88" t="s">
        <v>395</v>
      </c>
      <c r="G199" s="260">
        <v>31.5</v>
      </c>
      <c r="H199" s="260">
        <f>31.5</f>
        <v>31.5</v>
      </c>
      <c r="I199" s="260">
        <v>0</v>
      </c>
      <c r="J199" s="260"/>
      <c r="K199" s="260"/>
      <c r="L199" s="260"/>
      <c r="M199" s="260"/>
      <c r="N199" s="260"/>
    </row>
    <row r="200" spans="1:14" s="19" customFormat="1" ht="79.5" customHeight="1" x14ac:dyDescent="0.25">
      <c r="A200" s="11"/>
      <c r="B200" s="11"/>
      <c r="C200" s="24"/>
      <c r="D200" s="43"/>
      <c r="E200" s="44"/>
      <c r="F200" s="88" t="s">
        <v>307</v>
      </c>
      <c r="G200" s="260">
        <v>100</v>
      </c>
      <c r="H200" s="260">
        <v>30</v>
      </c>
      <c r="I200" s="260">
        <f>4.1</f>
        <v>4.0999999999999996</v>
      </c>
      <c r="J200" s="260"/>
      <c r="K200" s="260"/>
      <c r="L200" s="260"/>
      <c r="M200" s="260"/>
      <c r="N200" s="260"/>
    </row>
    <row r="201" spans="1:14" s="19" customFormat="1" ht="110.25" customHeight="1" x14ac:dyDescent="0.25">
      <c r="A201" s="11"/>
      <c r="B201" s="11"/>
      <c r="C201" s="24"/>
      <c r="D201" s="43"/>
      <c r="E201" s="44"/>
      <c r="F201" s="88" t="s">
        <v>397</v>
      </c>
      <c r="G201" s="260">
        <v>188.5</v>
      </c>
      <c r="H201" s="260">
        <f>70+70</f>
        <v>140</v>
      </c>
      <c r="I201" s="260">
        <v>0</v>
      </c>
      <c r="J201" s="260"/>
      <c r="K201" s="260"/>
      <c r="L201" s="260"/>
      <c r="M201" s="260"/>
      <c r="N201" s="260"/>
    </row>
    <row r="202" spans="1:14" s="51" customFormat="1" ht="82.5" customHeight="1" x14ac:dyDescent="0.25">
      <c r="A202" s="42">
        <v>6017420</v>
      </c>
      <c r="B202" s="21" t="s">
        <v>217</v>
      </c>
      <c r="C202" s="21" t="s">
        <v>37</v>
      </c>
      <c r="D202" s="43" t="s">
        <v>194</v>
      </c>
      <c r="E202" s="43"/>
      <c r="F202" s="88" t="s">
        <v>374</v>
      </c>
      <c r="G202" s="260"/>
      <c r="H202" s="260"/>
      <c r="I202" s="260"/>
      <c r="J202" s="260"/>
      <c r="K202" s="260">
        <v>500</v>
      </c>
      <c r="L202" s="260">
        <v>0</v>
      </c>
      <c r="M202" s="260">
        <v>0</v>
      </c>
      <c r="N202" s="260"/>
    </row>
    <row r="203" spans="1:14" s="51" customFormat="1" ht="49.5" customHeight="1" x14ac:dyDescent="0.25">
      <c r="A203" s="42"/>
      <c r="B203" s="21"/>
      <c r="C203" s="21"/>
      <c r="D203" s="43"/>
      <c r="E203" s="43"/>
      <c r="F203" s="253" t="s">
        <v>308</v>
      </c>
      <c r="G203" s="275">
        <f t="shared" ref="G203:N203" si="20">G204+G205+G206</f>
        <v>135.69999999999999</v>
      </c>
      <c r="H203" s="275">
        <f t="shared" si="20"/>
        <v>135.69999999999999</v>
      </c>
      <c r="I203" s="275">
        <f t="shared" si="20"/>
        <v>0</v>
      </c>
      <c r="J203" s="275">
        <f>I203/G203*100</f>
        <v>0</v>
      </c>
      <c r="K203" s="275">
        <f t="shared" si="20"/>
        <v>180.17599999999999</v>
      </c>
      <c r="L203" s="275">
        <f t="shared" si="20"/>
        <v>110.176</v>
      </c>
      <c r="M203" s="275">
        <f t="shared" si="20"/>
        <v>33.884099999999997</v>
      </c>
      <c r="N203" s="275">
        <f t="shared" si="20"/>
        <v>24.202928571428568</v>
      </c>
    </row>
    <row r="204" spans="1:14" s="51" customFormat="1" ht="92.25" customHeight="1" x14ac:dyDescent="0.25">
      <c r="A204" s="42">
        <v>6019110</v>
      </c>
      <c r="B204" s="21" t="s">
        <v>239</v>
      </c>
      <c r="C204" s="21" t="s">
        <v>240</v>
      </c>
      <c r="D204" s="43" t="s">
        <v>274</v>
      </c>
      <c r="E204" s="12"/>
      <c r="F204" s="43" t="s">
        <v>389</v>
      </c>
      <c r="G204" s="260"/>
      <c r="H204" s="260"/>
      <c r="I204" s="260"/>
      <c r="J204" s="260"/>
      <c r="K204" s="260">
        <v>140</v>
      </c>
      <c r="L204" s="260">
        <v>70</v>
      </c>
      <c r="M204" s="260">
        <v>33.884099999999997</v>
      </c>
      <c r="N204" s="260">
        <f>M204/K204*100</f>
        <v>24.202928571428568</v>
      </c>
    </row>
    <row r="205" spans="1:14" s="51" customFormat="1" ht="68.25" customHeight="1" x14ac:dyDescent="0.25">
      <c r="A205" s="42">
        <v>6019110</v>
      </c>
      <c r="B205" s="21" t="s">
        <v>239</v>
      </c>
      <c r="C205" s="21" t="s">
        <v>240</v>
      </c>
      <c r="D205" s="43" t="s">
        <v>274</v>
      </c>
      <c r="E205" s="12"/>
      <c r="F205" s="43" t="s">
        <v>396</v>
      </c>
      <c r="G205" s="260"/>
      <c r="H205" s="260"/>
      <c r="I205" s="260"/>
      <c r="J205" s="260"/>
      <c r="K205" s="260">
        <v>40.176000000000002</v>
      </c>
      <c r="L205" s="260">
        <v>40.176000000000002</v>
      </c>
      <c r="M205" s="260">
        <v>0</v>
      </c>
      <c r="N205" s="260">
        <f>M205/K205*100</f>
        <v>0</v>
      </c>
    </row>
    <row r="206" spans="1:14" s="51" customFormat="1" ht="122.25" customHeight="1" x14ac:dyDescent="0.25">
      <c r="A206" s="42">
        <v>6016060</v>
      </c>
      <c r="B206" s="21" t="s">
        <v>199</v>
      </c>
      <c r="C206" s="21" t="s">
        <v>190</v>
      </c>
      <c r="D206" s="287" t="s">
        <v>306</v>
      </c>
      <c r="E206" s="12"/>
      <c r="F206" s="43" t="s">
        <v>390</v>
      </c>
      <c r="G206" s="260">
        <v>135.69999999999999</v>
      </c>
      <c r="H206" s="260">
        <v>135.69999999999999</v>
      </c>
      <c r="I206" s="260">
        <v>0</v>
      </c>
      <c r="J206" s="260">
        <f>I206/G206*100</f>
        <v>0</v>
      </c>
      <c r="K206" s="260"/>
      <c r="L206" s="260"/>
      <c r="M206" s="260"/>
      <c r="N206" s="260"/>
    </row>
    <row r="207" spans="1:14" s="32" customFormat="1" ht="27.75" customHeight="1" x14ac:dyDescent="0.25">
      <c r="A207" s="49"/>
      <c r="B207" s="49"/>
      <c r="C207" s="49"/>
      <c r="D207" s="198" t="s">
        <v>50</v>
      </c>
      <c r="E207" s="198"/>
      <c r="F207" s="198"/>
      <c r="G207" s="262">
        <f>G198+G203</f>
        <v>455.7</v>
      </c>
      <c r="H207" s="262">
        <f>H198+H203</f>
        <v>337.2</v>
      </c>
      <c r="I207" s="262">
        <f t="shared" ref="I207:N207" si="21">I198+I203</f>
        <v>4.0999999999999996</v>
      </c>
      <c r="J207" s="262">
        <f>I207/G207*100</f>
        <v>0.89971472459951707</v>
      </c>
      <c r="K207" s="262">
        <f t="shared" si="21"/>
        <v>680.17599999999993</v>
      </c>
      <c r="L207" s="262">
        <f t="shared" si="21"/>
        <v>110.176</v>
      </c>
      <c r="M207" s="262">
        <f t="shared" si="21"/>
        <v>33.884099999999997</v>
      </c>
      <c r="N207" s="262">
        <f t="shared" si="21"/>
        <v>24.202928571428568</v>
      </c>
    </row>
    <row r="208" spans="1:14" s="51" customFormat="1" ht="100.5" customHeight="1" x14ac:dyDescent="0.25">
      <c r="A208" s="169">
        <v>6700000</v>
      </c>
      <c r="B208" s="192"/>
      <c r="C208" s="192"/>
      <c r="D208" s="181" t="s">
        <v>241</v>
      </c>
      <c r="E208" s="184"/>
      <c r="F208" s="173"/>
      <c r="G208" s="265"/>
      <c r="H208" s="265"/>
      <c r="I208" s="265"/>
      <c r="J208" s="265"/>
      <c r="K208" s="265"/>
      <c r="L208" s="265"/>
      <c r="M208" s="265"/>
      <c r="N208" s="265"/>
    </row>
    <row r="209" spans="1:14" s="51" customFormat="1" ht="96" customHeight="1" x14ac:dyDescent="0.25">
      <c r="A209" s="187">
        <v>6710000</v>
      </c>
      <c r="B209" s="192"/>
      <c r="C209" s="192"/>
      <c r="D209" s="183" t="s">
        <v>241</v>
      </c>
      <c r="E209" s="184"/>
      <c r="F209" s="173"/>
      <c r="G209" s="265"/>
      <c r="H209" s="265"/>
      <c r="I209" s="265"/>
      <c r="J209" s="265"/>
      <c r="K209" s="265"/>
      <c r="L209" s="265"/>
      <c r="M209" s="265"/>
      <c r="N209" s="265"/>
    </row>
    <row r="210" spans="1:14" s="51" customFormat="1" ht="56.25" customHeight="1" x14ac:dyDescent="0.25">
      <c r="A210" s="91">
        <v>6717810</v>
      </c>
      <c r="B210" s="49" t="s">
        <v>242</v>
      </c>
      <c r="C210" s="49" t="s">
        <v>243</v>
      </c>
      <c r="D210" s="67" t="s">
        <v>244</v>
      </c>
      <c r="E210" s="47"/>
      <c r="F210" s="13" t="s">
        <v>381</v>
      </c>
      <c r="G210" s="261">
        <f>G211+G212</f>
        <v>208.3</v>
      </c>
      <c r="H210" s="261">
        <f>H211+H212</f>
        <v>192.4</v>
      </c>
      <c r="I210" s="261">
        <f>I211+I212</f>
        <v>190.4</v>
      </c>
      <c r="J210" s="261">
        <f>I210/G210*100</f>
        <v>91.406625060009588</v>
      </c>
      <c r="K210" s="261">
        <f>K211+K212</f>
        <v>100</v>
      </c>
      <c r="L210" s="261">
        <f>L211+L212</f>
        <v>100</v>
      </c>
      <c r="M210" s="261">
        <f>M211+M212</f>
        <v>94.4</v>
      </c>
      <c r="N210" s="261">
        <f>M210/K210*100</f>
        <v>94.4</v>
      </c>
    </row>
    <row r="211" spans="1:14" s="51" customFormat="1" ht="36" customHeight="1" x14ac:dyDescent="0.25">
      <c r="A211" s="91"/>
      <c r="B211" s="49"/>
      <c r="C211" s="49"/>
      <c r="D211" s="67"/>
      <c r="E211" s="47"/>
      <c r="F211" s="43" t="s">
        <v>382</v>
      </c>
      <c r="G211" s="260">
        <v>38.299999999999997</v>
      </c>
      <c r="H211" s="260">
        <v>22.4</v>
      </c>
      <c r="I211" s="260">
        <v>20.5</v>
      </c>
      <c r="J211" s="260">
        <f>I211/G211*100</f>
        <v>53.52480417754569</v>
      </c>
      <c r="K211" s="260">
        <v>0</v>
      </c>
      <c r="L211" s="260">
        <v>0</v>
      </c>
      <c r="M211" s="260">
        <v>0</v>
      </c>
      <c r="N211" s="260"/>
    </row>
    <row r="212" spans="1:14" s="51" customFormat="1" ht="54.75" customHeight="1" x14ac:dyDescent="0.25">
      <c r="A212" s="91"/>
      <c r="B212" s="49"/>
      <c r="C212" s="49"/>
      <c r="D212" s="67"/>
      <c r="E212" s="47"/>
      <c r="F212" s="43" t="s">
        <v>383</v>
      </c>
      <c r="G212" s="260">
        <v>170</v>
      </c>
      <c r="H212" s="260">
        <v>170</v>
      </c>
      <c r="I212" s="260">
        <v>169.9</v>
      </c>
      <c r="J212" s="260">
        <f>I212/G212*100</f>
        <v>99.941176470588232</v>
      </c>
      <c r="K212" s="260">
        <v>100</v>
      </c>
      <c r="L212" s="260">
        <v>100</v>
      </c>
      <c r="M212" s="260">
        <v>94.4</v>
      </c>
      <c r="N212" s="260"/>
    </row>
    <row r="213" spans="1:14" s="51" customFormat="1" ht="69" customHeight="1" x14ac:dyDescent="0.25">
      <c r="A213" s="91"/>
      <c r="B213" s="49"/>
      <c r="C213" s="49"/>
      <c r="D213" s="67"/>
      <c r="E213" s="47"/>
      <c r="F213" s="13" t="s">
        <v>350</v>
      </c>
      <c r="G213" s="261">
        <f>G214+G215</f>
        <v>60</v>
      </c>
      <c r="H213" s="261">
        <f t="shared" ref="H213:N213" si="22">H214+H215</f>
        <v>15</v>
      </c>
      <c r="I213" s="261">
        <f t="shared" si="22"/>
        <v>9</v>
      </c>
      <c r="J213" s="261">
        <f t="shared" si="22"/>
        <v>0</v>
      </c>
      <c r="K213" s="261">
        <f t="shared" si="22"/>
        <v>203.624</v>
      </c>
      <c r="L213" s="261">
        <f t="shared" si="22"/>
        <v>203.624</v>
      </c>
      <c r="M213" s="261">
        <f t="shared" si="22"/>
        <v>0</v>
      </c>
      <c r="N213" s="261">
        <f t="shared" si="22"/>
        <v>0</v>
      </c>
    </row>
    <row r="214" spans="1:14" s="51" customFormat="1" ht="49.5" customHeight="1" x14ac:dyDescent="0.3">
      <c r="A214" s="159" t="s">
        <v>351</v>
      </c>
      <c r="B214" s="159" t="s">
        <v>352</v>
      </c>
      <c r="C214" s="159" t="s">
        <v>353</v>
      </c>
      <c r="D214" s="236" t="s">
        <v>354</v>
      </c>
      <c r="E214" s="236"/>
      <c r="F214" s="236" t="s">
        <v>355</v>
      </c>
      <c r="G214" s="261">
        <v>60</v>
      </c>
      <c r="H214" s="261">
        <v>15</v>
      </c>
      <c r="I214" s="261">
        <v>9</v>
      </c>
      <c r="J214" s="261"/>
      <c r="K214" s="261"/>
      <c r="L214" s="261"/>
      <c r="M214" s="261"/>
      <c r="N214" s="261"/>
    </row>
    <row r="215" spans="1:14" s="51" customFormat="1" ht="60.75" customHeight="1" x14ac:dyDescent="0.3">
      <c r="A215" s="159" t="s">
        <v>356</v>
      </c>
      <c r="B215" s="159" t="s">
        <v>29</v>
      </c>
      <c r="C215" s="159" t="s">
        <v>30</v>
      </c>
      <c r="D215" s="237" t="s">
        <v>27</v>
      </c>
      <c r="E215" s="236"/>
      <c r="F215" s="236" t="s">
        <v>357</v>
      </c>
      <c r="G215" s="261"/>
      <c r="H215" s="261"/>
      <c r="I215" s="261"/>
      <c r="J215" s="261"/>
      <c r="K215" s="261">
        <v>203.624</v>
      </c>
      <c r="L215" s="261">
        <v>203.624</v>
      </c>
      <c r="M215" s="261">
        <v>0</v>
      </c>
      <c r="N215" s="261">
        <v>0</v>
      </c>
    </row>
    <row r="216" spans="1:14" s="19" customFormat="1" ht="36" customHeight="1" x14ac:dyDescent="0.25">
      <c r="A216" s="48"/>
      <c r="B216" s="78"/>
      <c r="C216" s="78"/>
      <c r="D216" s="198" t="s">
        <v>50</v>
      </c>
      <c r="E216" s="205"/>
      <c r="F216" s="198"/>
      <c r="G216" s="262">
        <f t="shared" ref="G216:N216" si="23">G210+G213</f>
        <v>268.3</v>
      </c>
      <c r="H216" s="262">
        <f t="shared" si="23"/>
        <v>207.4</v>
      </c>
      <c r="I216" s="262">
        <f t="shared" si="23"/>
        <v>199.4</v>
      </c>
      <c r="J216" s="262">
        <f t="shared" si="23"/>
        <v>91.406625060009588</v>
      </c>
      <c r="K216" s="262">
        <f t="shared" si="23"/>
        <v>303.62400000000002</v>
      </c>
      <c r="L216" s="262">
        <f t="shared" si="23"/>
        <v>303.62400000000002</v>
      </c>
      <c r="M216" s="262">
        <f t="shared" si="23"/>
        <v>94.4</v>
      </c>
      <c r="N216" s="262">
        <f t="shared" si="23"/>
        <v>94.4</v>
      </c>
    </row>
    <row r="217" spans="1:14" s="51" customFormat="1" ht="43.5" hidden="1" customHeight="1" x14ac:dyDescent="0.25">
      <c r="A217" s="169">
        <v>7500000</v>
      </c>
      <c r="B217" s="176"/>
      <c r="C217" s="176"/>
      <c r="D217" s="181" t="s">
        <v>246</v>
      </c>
      <c r="E217" s="184"/>
      <c r="F217" s="173"/>
      <c r="G217" s="265"/>
      <c r="H217" s="265"/>
      <c r="I217" s="265"/>
      <c r="J217" s="265"/>
      <c r="K217" s="265"/>
      <c r="L217" s="265"/>
      <c r="M217" s="265"/>
      <c r="N217" s="265"/>
    </row>
    <row r="218" spans="1:14" s="51" customFormat="1" ht="45.75" hidden="1" customHeight="1" x14ac:dyDescent="0.25">
      <c r="A218" s="187">
        <v>7510000</v>
      </c>
      <c r="B218" s="176"/>
      <c r="C218" s="176"/>
      <c r="D218" s="183" t="s">
        <v>246</v>
      </c>
      <c r="E218" s="184"/>
      <c r="F218" s="173"/>
      <c r="G218" s="265"/>
      <c r="H218" s="265"/>
      <c r="I218" s="265"/>
      <c r="J218" s="265"/>
      <c r="K218" s="265"/>
      <c r="L218" s="265"/>
      <c r="M218" s="265"/>
      <c r="N218" s="265"/>
    </row>
    <row r="219" spans="1:14" s="51" customFormat="1" ht="21.75" customHeight="1" x14ac:dyDescent="0.25">
      <c r="A219" s="49" t="s">
        <v>247</v>
      </c>
      <c r="B219" s="49" t="s">
        <v>26</v>
      </c>
      <c r="C219" s="49" t="s">
        <v>30</v>
      </c>
      <c r="D219" s="28" t="s">
        <v>27</v>
      </c>
      <c r="E219" s="47"/>
      <c r="F219" s="13"/>
      <c r="G219" s="261">
        <f>G220</f>
        <v>1560</v>
      </c>
      <c r="H219" s="261">
        <f>H220</f>
        <v>680</v>
      </c>
      <c r="I219" s="261">
        <f>I220</f>
        <v>0</v>
      </c>
      <c r="J219" s="261">
        <f>I219/G219*100</f>
        <v>0</v>
      </c>
      <c r="K219" s="261">
        <f>K220</f>
        <v>0</v>
      </c>
      <c r="L219" s="261"/>
      <c r="M219" s="261"/>
      <c r="N219" s="261"/>
    </row>
    <row r="220" spans="1:14" s="51" customFormat="1" ht="74.25" customHeight="1" x14ac:dyDescent="0.25">
      <c r="A220" s="42">
        <v>7518601</v>
      </c>
      <c r="B220" s="21" t="s">
        <v>29</v>
      </c>
      <c r="C220" s="21" t="s">
        <v>30</v>
      </c>
      <c r="D220" s="28" t="s">
        <v>27</v>
      </c>
      <c r="E220" s="28"/>
      <c r="F220" s="20" t="s">
        <v>273</v>
      </c>
      <c r="G220" s="260">
        <v>1560</v>
      </c>
      <c r="H220" s="260">
        <v>680</v>
      </c>
      <c r="I220" s="260">
        <v>0</v>
      </c>
      <c r="J220" s="260">
        <f>I220/G220*100</f>
        <v>0</v>
      </c>
      <c r="K220" s="260"/>
      <c r="L220" s="260"/>
      <c r="M220" s="260"/>
      <c r="N220" s="260"/>
    </row>
    <row r="221" spans="1:14" s="19" customFormat="1" ht="27.75" customHeight="1" x14ac:dyDescent="0.25">
      <c r="A221" s="49"/>
      <c r="B221" s="49"/>
      <c r="C221" s="49"/>
      <c r="D221" s="219" t="s">
        <v>50</v>
      </c>
      <c r="E221" s="219"/>
      <c r="F221" s="219"/>
      <c r="G221" s="259">
        <f>G219</f>
        <v>1560</v>
      </c>
      <c r="H221" s="259">
        <f>H219</f>
        <v>680</v>
      </c>
      <c r="I221" s="259">
        <f>I219</f>
        <v>0</v>
      </c>
      <c r="J221" s="259">
        <f>I221/G221*100</f>
        <v>0</v>
      </c>
      <c r="K221" s="259">
        <f>K219</f>
        <v>0</v>
      </c>
      <c r="L221" s="259">
        <f>L219</f>
        <v>0</v>
      </c>
      <c r="M221" s="259">
        <f>M219</f>
        <v>0</v>
      </c>
      <c r="N221" s="259"/>
    </row>
    <row r="222" spans="1:14" s="51" customFormat="1" ht="21.6" customHeight="1" x14ac:dyDescent="0.25">
      <c r="A222" s="92"/>
      <c r="B222" s="93"/>
      <c r="C222" s="93"/>
      <c r="D222" s="217" t="s">
        <v>248</v>
      </c>
      <c r="E222" s="217"/>
      <c r="F222" s="218"/>
      <c r="G222" s="276">
        <f>G22+G37+G78+G83+G101+G195+G207+G216+G221+G25</f>
        <v>36372.299999999996</v>
      </c>
      <c r="H222" s="276">
        <f>H22+H37+H78+H83+H101+H195+H207+H216+H221+H25</f>
        <v>23307.311000000002</v>
      </c>
      <c r="I222" s="276">
        <f>I22+I37+I78+I83+I101+I195+I207+I216+I221+I25</f>
        <v>17877.715000000004</v>
      </c>
      <c r="J222" s="276">
        <f>I222/G222*100</f>
        <v>49.152005784621835</v>
      </c>
      <c r="K222" s="276">
        <f>K22+K37+K78+K83+K101+K195+K207+K216+K221+K25</f>
        <v>39724.334000000003</v>
      </c>
      <c r="L222" s="276">
        <f>L22+L37+L78+L83+L101+L195+L207+L216+L221+L25</f>
        <v>21789.934000000001</v>
      </c>
      <c r="M222" s="276">
        <f>M22+M37+M78+M83+M101+M195+M207+M216+M221+M25</f>
        <v>6281.6109799999995</v>
      </c>
      <c r="N222" s="276">
        <f>M222/K222*100</f>
        <v>15.813005146920775</v>
      </c>
    </row>
  </sheetData>
  <mergeCells count="9">
    <mergeCell ref="B6:N6"/>
    <mergeCell ref="B1:N1"/>
    <mergeCell ref="A4:A5"/>
    <mergeCell ref="B4:B5"/>
    <mergeCell ref="C4:C5"/>
    <mergeCell ref="D4:E5"/>
    <mergeCell ref="F4:F5"/>
    <mergeCell ref="G4:I4"/>
    <mergeCell ref="K4:N4"/>
  </mergeCells>
  <hyperlinks>
    <hyperlink ref="F19" r:id="rId1" display="http://akts.yu.mk.ua/showdoc/4829/"/>
  </hyperlinks>
  <pageMargins left="0.70866141732283472" right="0.70866141732283472" top="0.74803149606299213" bottom="0.74803149606299213" header="0.31496062992125984" footer="0.31496062992125984"/>
  <pageSetup paperSize="9" scale="48" fitToHeight="14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view="pageBreakPreview" zoomScale="75" zoomScaleNormal="68" zoomScaleSheetLayoutView="75" workbookViewId="0">
      <pane ySplit="5" topLeftCell="A171" activePane="bottomLeft" state="frozen"/>
      <selection activeCell="B1" sqref="B1"/>
      <selection pane="bottomLeft" activeCell="F171" sqref="F171"/>
    </sheetView>
  </sheetViews>
  <sheetFormatPr defaultColWidth="8.7109375" defaultRowHeight="12.75" x14ac:dyDescent="0.2"/>
  <cols>
    <col min="1" max="1" width="13" style="1" customWidth="1"/>
    <col min="2" max="2" width="12.140625" style="2" customWidth="1"/>
    <col min="3" max="3" width="11.28515625" style="2" customWidth="1"/>
    <col min="4" max="4" width="37.140625" style="1" customWidth="1"/>
    <col min="5" max="5" width="2.140625" style="1" hidden="1" customWidth="1"/>
    <col min="6" max="6" width="58.7109375" style="1" customWidth="1"/>
    <col min="7" max="10" width="16.7109375" style="1" customWidth="1"/>
    <col min="11" max="11" width="18.140625" style="1" customWidth="1"/>
    <col min="12" max="14" width="16.7109375" style="1" customWidth="1"/>
    <col min="15" max="192" width="8.7109375" style="1"/>
    <col min="193" max="193" width="13" style="1" customWidth="1"/>
    <col min="194" max="194" width="12.140625" style="1" customWidth="1"/>
    <col min="195" max="195" width="11.28515625" style="1" customWidth="1"/>
    <col min="196" max="196" width="37.140625" style="1" customWidth="1"/>
    <col min="197" max="197" width="0" style="1" hidden="1" customWidth="1"/>
    <col min="198" max="198" width="58.7109375" style="1" customWidth="1"/>
    <col min="199" max="201" width="16.7109375" style="1" customWidth="1"/>
    <col min="202" max="202" width="53.28515625" style="1" customWidth="1"/>
    <col min="203" max="203" width="15.42578125" style="1" customWidth="1"/>
    <col min="204" max="448" width="8.7109375" style="1"/>
    <col min="449" max="449" width="13" style="1" customWidth="1"/>
    <col min="450" max="450" width="12.140625" style="1" customWidth="1"/>
    <col min="451" max="451" width="11.28515625" style="1" customWidth="1"/>
    <col min="452" max="452" width="37.140625" style="1" customWidth="1"/>
    <col min="453" max="453" width="0" style="1" hidden="1" customWidth="1"/>
    <col min="454" max="454" width="58.7109375" style="1" customWidth="1"/>
    <col min="455" max="457" width="16.7109375" style="1" customWidth="1"/>
    <col min="458" max="458" width="53.28515625" style="1" customWidth="1"/>
    <col min="459" max="459" width="15.42578125" style="1" customWidth="1"/>
    <col min="460" max="16384" width="8.7109375" style="1"/>
  </cols>
  <sheetData>
    <row r="1" spans="1:14" s="4" customFormat="1" ht="20.25" x14ac:dyDescent="0.25">
      <c r="B1" s="479" t="s">
        <v>429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</row>
    <row r="2" spans="1:14" s="4" customFormat="1" ht="30" customHeight="1" x14ac:dyDescent="0.25"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ht="23.25" customHeight="1" x14ac:dyDescent="0.3">
      <c r="M3" s="3" t="s">
        <v>0</v>
      </c>
    </row>
    <row r="4" spans="1:14" s="222" customFormat="1" ht="45" customHeight="1" x14ac:dyDescent="0.25">
      <c r="A4" s="481" t="s">
        <v>1</v>
      </c>
      <c r="B4" s="482" t="s">
        <v>2</v>
      </c>
      <c r="C4" s="482" t="s">
        <v>3</v>
      </c>
      <c r="D4" s="483" t="s">
        <v>4</v>
      </c>
      <c r="E4" s="483"/>
      <c r="F4" s="483" t="s">
        <v>283</v>
      </c>
      <c r="G4" s="483" t="s">
        <v>5</v>
      </c>
      <c r="H4" s="483"/>
      <c r="I4" s="483"/>
      <c r="J4" s="285"/>
      <c r="K4" s="483" t="s">
        <v>6</v>
      </c>
      <c r="L4" s="483"/>
      <c r="M4" s="483"/>
      <c r="N4" s="483"/>
    </row>
    <row r="5" spans="1:14" s="222" customFormat="1" ht="69" customHeight="1" x14ac:dyDescent="0.25">
      <c r="A5" s="481"/>
      <c r="B5" s="482"/>
      <c r="C5" s="482"/>
      <c r="D5" s="483"/>
      <c r="E5" s="483"/>
      <c r="F5" s="483"/>
      <c r="G5" s="285" t="s">
        <v>284</v>
      </c>
      <c r="H5" s="285" t="s">
        <v>285</v>
      </c>
      <c r="I5" s="285" t="s">
        <v>430</v>
      </c>
      <c r="J5" s="285" t="s">
        <v>286</v>
      </c>
      <c r="K5" s="285" t="s">
        <v>284</v>
      </c>
      <c r="L5" s="285" t="s">
        <v>285</v>
      </c>
      <c r="M5" s="285" t="s">
        <v>430</v>
      </c>
      <c r="N5" s="285" t="s">
        <v>286</v>
      </c>
    </row>
    <row r="6" spans="1:14" s="8" customFormat="1" ht="19.5" customHeight="1" x14ac:dyDescent="0.25">
      <c r="A6" s="7"/>
      <c r="B6" s="480" t="s">
        <v>7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</row>
    <row r="7" spans="1:14" s="10" customFormat="1" ht="42" customHeight="1" x14ac:dyDescent="0.25">
      <c r="A7" s="161" t="s">
        <v>8</v>
      </c>
      <c r="B7" s="162"/>
      <c r="C7" s="162"/>
      <c r="D7" s="163" t="s">
        <v>9</v>
      </c>
      <c r="E7" s="164"/>
      <c r="F7" s="165"/>
      <c r="G7" s="255"/>
      <c r="H7" s="255"/>
      <c r="I7" s="255"/>
      <c r="J7" s="255"/>
      <c r="K7" s="256"/>
      <c r="L7" s="256"/>
      <c r="M7" s="256"/>
      <c r="N7" s="256"/>
    </row>
    <row r="8" spans="1:14" s="10" customFormat="1" ht="38.25" customHeight="1" x14ac:dyDescent="0.25">
      <c r="A8" s="193" t="s">
        <v>10</v>
      </c>
      <c r="B8" s="194"/>
      <c r="C8" s="194"/>
      <c r="D8" s="156" t="s">
        <v>9</v>
      </c>
      <c r="E8" s="195"/>
      <c r="F8" s="9"/>
      <c r="G8" s="257"/>
      <c r="H8" s="257"/>
      <c r="I8" s="257"/>
      <c r="J8" s="257"/>
      <c r="K8" s="258"/>
      <c r="L8" s="258"/>
      <c r="M8" s="258"/>
      <c r="N8" s="258"/>
    </row>
    <row r="9" spans="1:14" s="15" customFormat="1" ht="83.45" customHeight="1" x14ac:dyDescent="0.25">
      <c r="A9" s="11"/>
      <c r="B9" s="11"/>
      <c r="C9" s="11"/>
      <c r="D9" s="12"/>
      <c r="E9" s="12"/>
      <c r="F9" s="219" t="s">
        <v>11</v>
      </c>
      <c r="G9" s="259">
        <f>G10+G11</f>
        <v>60.9</v>
      </c>
      <c r="H9" s="259">
        <f>H10+H11</f>
        <v>50.9</v>
      </c>
      <c r="I9" s="259">
        <f>I10+I11</f>
        <v>44.515000000000001</v>
      </c>
      <c r="J9" s="259">
        <f>I9/G9*100</f>
        <v>73.095238095238102</v>
      </c>
      <c r="K9" s="259">
        <f>K10+K11</f>
        <v>0</v>
      </c>
      <c r="L9" s="259">
        <f>L10+L11</f>
        <v>0</v>
      </c>
      <c r="M9" s="259">
        <f>M10+M11</f>
        <v>0</v>
      </c>
      <c r="N9" s="259"/>
    </row>
    <row r="10" spans="1:14" s="19" customFormat="1" ht="84" customHeight="1" x14ac:dyDescent="0.25">
      <c r="A10" s="11" t="s">
        <v>12</v>
      </c>
      <c r="B10" s="11" t="s">
        <v>13</v>
      </c>
      <c r="C10" s="11" t="s">
        <v>14</v>
      </c>
      <c r="D10" s="16" t="s">
        <v>15</v>
      </c>
      <c r="E10" s="17"/>
      <c r="F10" s="18" t="s">
        <v>16</v>
      </c>
      <c r="G10" s="260">
        <v>17</v>
      </c>
      <c r="H10" s="260">
        <v>7</v>
      </c>
      <c r="I10" s="260">
        <v>0.6</v>
      </c>
      <c r="J10" s="260"/>
      <c r="K10" s="260"/>
      <c r="L10" s="260"/>
      <c r="M10" s="260"/>
      <c r="N10" s="260"/>
    </row>
    <row r="11" spans="1:14" s="19" customFormat="1" ht="36" customHeight="1" x14ac:dyDescent="0.25">
      <c r="A11" s="11" t="s">
        <v>17</v>
      </c>
      <c r="B11" s="11" t="s">
        <v>18</v>
      </c>
      <c r="C11" s="11" t="s">
        <v>19</v>
      </c>
      <c r="D11" s="20" t="s">
        <v>20</v>
      </c>
      <c r="E11" s="17"/>
      <c r="F11" s="18"/>
      <c r="G11" s="260">
        <f>G12</f>
        <v>43.9</v>
      </c>
      <c r="H11" s="260">
        <f>H12</f>
        <v>43.9</v>
      </c>
      <c r="I11" s="260">
        <f t="shared" ref="I11" si="0">I12</f>
        <v>43.914999999999999</v>
      </c>
      <c r="J11" s="260"/>
      <c r="K11" s="260">
        <f>K12</f>
        <v>0</v>
      </c>
      <c r="L11" s="260"/>
      <c r="M11" s="260"/>
      <c r="N11" s="260"/>
    </row>
    <row r="12" spans="1:14" s="19" customFormat="1" ht="102.75" customHeight="1" x14ac:dyDescent="0.25">
      <c r="A12" s="21" t="s">
        <v>21</v>
      </c>
      <c r="B12" s="21" t="s">
        <v>22</v>
      </c>
      <c r="C12" s="21" t="s">
        <v>19</v>
      </c>
      <c r="D12" s="16" t="s">
        <v>23</v>
      </c>
      <c r="E12" s="17"/>
      <c r="F12" s="17" t="s">
        <v>24</v>
      </c>
      <c r="G12" s="260">
        <v>43.9</v>
      </c>
      <c r="H12" s="260">
        <v>43.9</v>
      </c>
      <c r="I12" s="260">
        <v>43.914999999999999</v>
      </c>
      <c r="J12" s="260"/>
      <c r="K12" s="260"/>
      <c r="L12" s="260"/>
      <c r="M12" s="260"/>
      <c r="N12" s="260"/>
    </row>
    <row r="13" spans="1:14" s="19" customFormat="1" ht="24" customHeight="1" x14ac:dyDescent="0.25">
      <c r="A13" s="11" t="s">
        <v>25</v>
      </c>
      <c r="B13" s="11" t="s">
        <v>26</v>
      </c>
      <c r="C13" s="11" t="s">
        <v>13</v>
      </c>
      <c r="D13" s="17" t="s">
        <v>27</v>
      </c>
      <c r="E13" s="17"/>
      <c r="F13" s="220"/>
      <c r="G13" s="259">
        <f>G14+G20</f>
        <v>138.94499999999999</v>
      </c>
      <c r="H13" s="259">
        <f>H14+H20</f>
        <v>108.5</v>
      </c>
      <c r="I13" s="259">
        <f>I14+I20</f>
        <v>83.6</v>
      </c>
      <c r="J13" s="259">
        <f>I13/G13*100</f>
        <v>60.167692252330063</v>
      </c>
      <c r="K13" s="259">
        <f>K14+K20</f>
        <v>0</v>
      </c>
      <c r="L13" s="259">
        <f>L14+L20</f>
        <v>0</v>
      </c>
      <c r="M13" s="259">
        <f>M14+M20</f>
        <v>0</v>
      </c>
      <c r="N13" s="259"/>
    </row>
    <row r="14" spans="1:14" s="19" customFormat="1" ht="85.5" customHeight="1" x14ac:dyDescent="0.25">
      <c r="A14" s="154" t="s">
        <v>28</v>
      </c>
      <c r="B14" s="21" t="s">
        <v>29</v>
      </c>
      <c r="C14" s="21" t="s">
        <v>30</v>
      </c>
      <c r="D14" s="17" t="s">
        <v>27</v>
      </c>
      <c r="E14" s="17"/>
      <c r="F14" s="22" t="s">
        <v>31</v>
      </c>
      <c r="G14" s="261">
        <f>G15+G16+G17+G18+G19</f>
        <v>123.94499999999999</v>
      </c>
      <c r="H14" s="261">
        <f>H15+H16+H17+H18+H19</f>
        <v>93.5</v>
      </c>
      <c r="I14" s="261">
        <f>I15+I16+I17+I18+I19</f>
        <v>68.8</v>
      </c>
      <c r="J14" s="261"/>
      <c r="K14" s="261">
        <v>0</v>
      </c>
      <c r="L14" s="261"/>
      <c r="M14" s="261"/>
      <c r="N14" s="261"/>
    </row>
    <row r="15" spans="1:14" s="19" customFormat="1" ht="27.75" customHeight="1" x14ac:dyDescent="0.25">
      <c r="A15" s="154"/>
      <c r="B15" s="21"/>
      <c r="C15" s="21"/>
      <c r="D15" s="17"/>
      <c r="E15" s="17"/>
      <c r="F15" s="17" t="s">
        <v>296</v>
      </c>
      <c r="G15" s="261">
        <v>41.945</v>
      </c>
      <c r="H15" s="261">
        <v>31.5</v>
      </c>
      <c r="I15" s="261">
        <v>29.3</v>
      </c>
      <c r="J15" s="261"/>
      <c r="K15" s="261"/>
      <c r="L15" s="261"/>
      <c r="M15" s="261"/>
      <c r="N15" s="261"/>
    </row>
    <row r="16" spans="1:14" s="19" customFormat="1" ht="36" customHeight="1" x14ac:dyDescent="0.25">
      <c r="A16" s="154"/>
      <c r="B16" s="21"/>
      <c r="C16" s="21"/>
      <c r="D16" s="17"/>
      <c r="E16" s="17"/>
      <c r="F16" s="17" t="s">
        <v>297</v>
      </c>
      <c r="G16" s="261">
        <v>24.2</v>
      </c>
      <c r="H16" s="261">
        <v>24.2</v>
      </c>
      <c r="I16" s="261">
        <v>2</v>
      </c>
      <c r="J16" s="261"/>
      <c r="K16" s="261"/>
      <c r="L16" s="261"/>
      <c r="M16" s="261"/>
      <c r="N16" s="261"/>
    </row>
    <row r="17" spans="1:14" s="19" customFormat="1" ht="25.5" customHeight="1" x14ac:dyDescent="0.25">
      <c r="A17" s="154"/>
      <c r="B17" s="21"/>
      <c r="C17" s="21"/>
      <c r="D17" s="17"/>
      <c r="E17" s="17"/>
      <c r="F17" s="17" t="s">
        <v>298</v>
      </c>
      <c r="G17" s="261">
        <v>15</v>
      </c>
      <c r="H17" s="261">
        <v>15</v>
      </c>
      <c r="I17" s="261">
        <v>14.7</v>
      </c>
      <c r="J17" s="261"/>
      <c r="K17" s="261"/>
      <c r="L17" s="261"/>
      <c r="M17" s="261"/>
      <c r="N17" s="261"/>
    </row>
    <row r="18" spans="1:14" s="19" customFormat="1" ht="28.5" customHeight="1" x14ac:dyDescent="0.25">
      <c r="A18" s="154"/>
      <c r="B18" s="21"/>
      <c r="C18" s="21"/>
      <c r="D18" s="17"/>
      <c r="E18" s="17"/>
      <c r="F18" s="17" t="s">
        <v>299</v>
      </c>
      <c r="G18" s="260">
        <v>22.8</v>
      </c>
      <c r="H18" s="260">
        <v>22.8</v>
      </c>
      <c r="I18" s="260">
        <v>22.8</v>
      </c>
      <c r="J18" s="261"/>
      <c r="K18" s="261"/>
      <c r="L18" s="261"/>
      <c r="M18" s="261"/>
      <c r="N18" s="261"/>
    </row>
    <row r="19" spans="1:14" s="19" customFormat="1" ht="42" customHeight="1" x14ac:dyDescent="0.25">
      <c r="A19" s="154"/>
      <c r="B19" s="21"/>
      <c r="C19" s="21"/>
      <c r="D19" s="17"/>
      <c r="E19" s="17"/>
      <c r="F19" s="17" t="s">
        <v>446</v>
      </c>
      <c r="G19" s="260">
        <v>20</v>
      </c>
      <c r="H19" s="260">
        <v>0</v>
      </c>
      <c r="I19" s="260">
        <v>0</v>
      </c>
      <c r="J19" s="261"/>
      <c r="K19" s="261"/>
      <c r="L19" s="261"/>
      <c r="M19" s="261"/>
      <c r="N19" s="261"/>
    </row>
    <row r="20" spans="1:14" s="19" customFormat="1" ht="71.25" customHeight="1" x14ac:dyDescent="0.25">
      <c r="A20" s="11" t="s">
        <v>32</v>
      </c>
      <c r="B20" s="21" t="s">
        <v>33</v>
      </c>
      <c r="C20" s="21" t="s">
        <v>30</v>
      </c>
      <c r="D20" s="17" t="s">
        <v>27</v>
      </c>
      <c r="E20" s="17"/>
      <c r="F20" s="23" t="s">
        <v>425</v>
      </c>
      <c r="G20" s="261">
        <f>5+10</f>
        <v>15</v>
      </c>
      <c r="H20" s="261">
        <v>15</v>
      </c>
      <c r="I20" s="261">
        <v>14.8</v>
      </c>
      <c r="J20" s="261">
        <f>I20/G20*100</f>
        <v>98.666666666666671</v>
      </c>
      <c r="K20" s="261">
        <v>0</v>
      </c>
      <c r="L20" s="261"/>
      <c r="M20" s="261"/>
      <c r="N20" s="261"/>
    </row>
    <row r="21" spans="1:14" s="19" customFormat="1" ht="7.5" hidden="1" customHeight="1" x14ac:dyDescent="0.25">
      <c r="A21" s="24"/>
      <c r="B21" s="24"/>
      <c r="C21" s="24"/>
      <c r="D21" s="25"/>
      <c r="E21" s="25"/>
      <c r="F21" s="26"/>
      <c r="G21" s="260"/>
      <c r="H21" s="260"/>
      <c r="I21" s="260"/>
      <c r="J21" s="260"/>
      <c r="K21" s="260"/>
      <c r="L21" s="260"/>
      <c r="M21" s="260"/>
      <c r="N21" s="260"/>
    </row>
    <row r="22" spans="1:14" s="19" customFormat="1" ht="87.75" customHeight="1" x14ac:dyDescent="0.25">
      <c r="A22" s="21" t="s">
        <v>35</v>
      </c>
      <c r="B22" s="21" t="s">
        <v>36</v>
      </c>
      <c r="C22" s="21" t="s">
        <v>37</v>
      </c>
      <c r="D22" s="16" t="s">
        <v>197</v>
      </c>
      <c r="E22" s="28"/>
      <c r="F22" s="20" t="s">
        <v>38</v>
      </c>
      <c r="G22" s="260"/>
      <c r="H22" s="260"/>
      <c r="I22" s="260"/>
      <c r="J22" s="260"/>
      <c r="K22" s="261">
        <v>112</v>
      </c>
      <c r="L22" s="261">
        <f>24+88</f>
        <v>112</v>
      </c>
      <c r="M22" s="261">
        <f>12.2688</f>
        <v>12.268800000000001</v>
      </c>
      <c r="N22" s="261">
        <f>M22/K22*100</f>
        <v>10.954285714285716</v>
      </c>
    </row>
    <row r="23" spans="1:14" s="32" customFormat="1" ht="21" customHeight="1" x14ac:dyDescent="0.25">
      <c r="A23" s="29"/>
      <c r="B23" s="30"/>
      <c r="C23" s="30"/>
      <c r="D23" s="197" t="s">
        <v>39</v>
      </c>
      <c r="E23" s="197"/>
      <c r="F23" s="198"/>
      <c r="G23" s="262">
        <f>G13+G9+G22</f>
        <v>199.845</v>
      </c>
      <c r="H23" s="262">
        <f>H13+H9+H22</f>
        <v>159.4</v>
      </c>
      <c r="I23" s="262">
        <f>I13+I9+I22</f>
        <v>128.11500000000001</v>
      </c>
      <c r="J23" s="262">
        <f>I23/G23*100</f>
        <v>64.107183066876843</v>
      </c>
      <c r="K23" s="262">
        <f>K13+K9+K22</f>
        <v>112</v>
      </c>
      <c r="L23" s="262">
        <f>L13+L9+L22</f>
        <v>112</v>
      </c>
      <c r="M23" s="262">
        <f>M13+M9+M22</f>
        <v>12.268800000000001</v>
      </c>
      <c r="N23" s="259">
        <f>M23/K23*100</f>
        <v>10.954285714285716</v>
      </c>
    </row>
    <row r="24" spans="1:14" s="37" customFormat="1" ht="39.75" customHeight="1" x14ac:dyDescent="0.2">
      <c r="A24" s="166" t="s">
        <v>40</v>
      </c>
      <c r="B24" s="167"/>
      <c r="C24" s="167"/>
      <c r="D24" s="163" t="s">
        <v>41</v>
      </c>
      <c r="E24" s="168"/>
      <c r="F24" s="168"/>
      <c r="G24" s="263"/>
      <c r="H24" s="263"/>
      <c r="I24" s="263"/>
      <c r="J24" s="263"/>
      <c r="K24" s="263"/>
      <c r="L24" s="263"/>
      <c r="M24" s="263"/>
      <c r="N24" s="263"/>
    </row>
    <row r="25" spans="1:14" s="39" customFormat="1" ht="46.5" customHeight="1" x14ac:dyDescent="0.2">
      <c r="A25" s="33" t="s">
        <v>42</v>
      </c>
      <c r="B25" s="34"/>
      <c r="C25" s="34"/>
      <c r="D25" s="156" t="s">
        <v>41</v>
      </c>
      <c r="E25" s="35"/>
      <c r="F25" s="35"/>
      <c r="G25" s="264"/>
      <c r="H25" s="264"/>
      <c r="I25" s="264"/>
      <c r="J25" s="264"/>
      <c r="K25" s="264"/>
      <c r="L25" s="264"/>
      <c r="M25" s="264"/>
      <c r="N25" s="264"/>
    </row>
    <row r="26" spans="1:14" s="39" customFormat="1" ht="30" customHeight="1" x14ac:dyDescent="0.2">
      <c r="A26" s="33" t="s">
        <v>43</v>
      </c>
      <c r="B26" s="34" t="s">
        <v>44</v>
      </c>
      <c r="C26" s="34" t="s">
        <v>45</v>
      </c>
      <c r="D26" s="68" t="s">
        <v>46</v>
      </c>
      <c r="E26" s="35"/>
      <c r="F26" s="206" t="s">
        <v>39</v>
      </c>
      <c r="G26" s="262">
        <f>G28+G27+G34</f>
        <v>250.4</v>
      </c>
      <c r="H26" s="262">
        <f>H28+H27+H34</f>
        <v>187.9</v>
      </c>
      <c r="I26" s="262">
        <f>I28+I27+I34</f>
        <v>128</v>
      </c>
      <c r="J26" s="262">
        <f>I26/G26*100</f>
        <v>51.118210862619804</v>
      </c>
      <c r="K26" s="262">
        <f>K34</f>
        <v>40</v>
      </c>
      <c r="L26" s="262">
        <f>L34</f>
        <v>10</v>
      </c>
      <c r="M26" s="262">
        <f>M34</f>
        <v>0</v>
      </c>
      <c r="N26" s="262"/>
    </row>
    <row r="27" spans="1:14" s="39" customFormat="1" ht="112.5" x14ac:dyDescent="0.2">
      <c r="A27" s="33"/>
      <c r="B27" s="34" t="s">
        <v>98</v>
      </c>
      <c r="C27" s="34"/>
      <c r="D27" s="45" t="s">
        <v>100</v>
      </c>
      <c r="E27" s="35"/>
      <c r="F27" s="254" t="s">
        <v>371</v>
      </c>
      <c r="G27" s="264">
        <v>37.5</v>
      </c>
      <c r="H27" s="264">
        <v>37.5</v>
      </c>
      <c r="I27" s="264">
        <v>17.8</v>
      </c>
      <c r="J27" s="264">
        <f t="shared" ref="J27:J28" si="1">I27/G27*100</f>
        <v>47.466666666666669</v>
      </c>
      <c r="K27" s="264"/>
      <c r="L27" s="264"/>
      <c r="M27" s="264"/>
      <c r="N27" s="264"/>
    </row>
    <row r="28" spans="1:14" s="15" customFormat="1" ht="55.5" customHeight="1" x14ac:dyDescent="0.25">
      <c r="A28" s="29"/>
      <c r="B28" s="21" t="s">
        <v>47</v>
      </c>
      <c r="C28" s="21" t="s">
        <v>45</v>
      </c>
      <c r="D28" s="40" t="s">
        <v>46</v>
      </c>
      <c r="E28" s="41"/>
      <c r="F28" s="13" t="s">
        <v>48</v>
      </c>
      <c r="G28" s="261">
        <f>G29+G30+G31+G32+G33</f>
        <v>172</v>
      </c>
      <c r="H28" s="261">
        <f>H29+H30+H31+H32+H33</f>
        <v>109.5</v>
      </c>
      <c r="I28" s="261">
        <f>I29+I30+I31+I32+I33</f>
        <v>69.3</v>
      </c>
      <c r="J28" s="264">
        <f t="shared" si="1"/>
        <v>40.290697674418603</v>
      </c>
      <c r="K28" s="261">
        <f>K29+K30+K32+K33</f>
        <v>0</v>
      </c>
      <c r="L28" s="261"/>
      <c r="M28" s="261"/>
      <c r="N28" s="261"/>
    </row>
    <row r="29" spans="1:14" s="15" customFormat="1" ht="27.75" customHeight="1" x14ac:dyDescent="0.25">
      <c r="A29" s="42"/>
      <c r="B29" s="21"/>
      <c r="C29" s="21"/>
      <c r="D29" s="43"/>
      <c r="E29" s="41"/>
      <c r="F29" s="43" t="s">
        <v>287</v>
      </c>
      <c r="G29" s="260">
        <v>33.799999999999997</v>
      </c>
      <c r="H29" s="260">
        <v>23.8</v>
      </c>
      <c r="I29" s="260">
        <v>16.2</v>
      </c>
      <c r="J29" s="260"/>
      <c r="K29" s="260"/>
      <c r="L29" s="260"/>
      <c r="M29" s="260"/>
      <c r="N29" s="260"/>
    </row>
    <row r="30" spans="1:14" s="46" customFormat="1" ht="69.75" customHeight="1" x14ac:dyDescent="0.25">
      <c r="A30" s="24"/>
      <c r="B30" s="24"/>
      <c r="C30" s="24"/>
      <c r="D30" s="44"/>
      <c r="E30" s="44"/>
      <c r="F30" s="45" t="s">
        <v>49</v>
      </c>
      <c r="G30" s="260">
        <v>72</v>
      </c>
      <c r="H30" s="260">
        <v>54.5</v>
      </c>
      <c r="I30" s="260">
        <v>42.3</v>
      </c>
      <c r="J30" s="260"/>
      <c r="K30" s="260"/>
      <c r="L30" s="260"/>
      <c r="M30" s="260"/>
      <c r="N30" s="260"/>
    </row>
    <row r="31" spans="1:14" s="46" customFormat="1" ht="20.25" customHeight="1" x14ac:dyDescent="0.25">
      <c r="A31" s="24"/>
      <c r="B31" s="24"/>
      <c r="C31" s="24"/>
      <c r="D31" s="44"/>
      <c r="E31" s="44"/>
      <c r="F31" s="45" t="s">
        <v>288</v>
      </c>
      <c r="G31" s="260">
        <v>15</v>
      </c>
      <c r="H31" s="260">
        <v>0</v>
      </c>
      <c r="I31" s="260">
        <v>0</v>
      </c>
      <c r="J31" s="260"/>
      <c r="K31" s="260"/>
      <c r="L31" s="260"/>
      <c r="M31" s="260"/>
      <c r="N31" s="260"/>
    </row>
    <row r="32" spans="1:14" s="15" customFormat="1" ht="35.25" customHeight="1" x14ac:dyDescent="0.25">
      <c r="A32" s="29"/>
      <c r="B32" s="30"/>
      <c r="C32" s="30"/>
      <c r="D32" s="47"/>
      <c r="E32" s="47"/>
      <c r="F32" s="43" t="s">
        <v>289</v>
      </c>
      <c r="G32" s="260">
        <v>31.2</v>
      </c>
      <c r="H32" s="260">
        <v>11.2</v>
      </c>
      <c r="I32" s="260">
        <v>5.8</v>
      </c>
      <c r="J32" s="260"/>
      <c r="K32" s="261"/>
      <c r="L32" s="261"/>
      <c r="M32" s="261"/>
      <c r="N32" s="261"/>
    </row>
    <row r="33" spans="1:14" s="15" customFormat="1" ht="20.25" customHeight="1" x14ac:dyDescent="0.25">
      <c r="A33" s="48"/>
      <c r="B33" s="49"/>
      <c r="C33" s="49"/>
      <c r="D33" s="47"/>
      <c r="E33" s="47"/>
      <c r="F33" s="43" t="s">
        <v>325</v>
      </c>
      <c r="G33" s="260">
        <v>20</v>
      </c>
      <c r="H33" s="260">
        <v>20</v>
      </c>
      <c r="I33" s="260">
        <v>5</v>
      </c>
      <c r="J33" s="260"/>
      <c r="K33" s="261"/>
      <c r="L33" s="261"/>
      <c r="M33" s="261"/>
      <c r="N33" s="261"/>
    </row>
    <row r="34" spans="1:14" s="15" customFormat="1" ht="176.25" customHeight="1" x14ac:dyDescent="0.25">
      <c r="A34" s="308" t="s">
        <v>463</v>
      </c>
      <c r="B34" s="309" t="s">
        <v>210</v>
      </c>
      <c r="C34" s="34" t="s">
        <v>211</v>
      </c>
      <c r="D34" s="310" t="s">
        <v>464</v>
      </c>
      <c r="E34" s="311"/>
      <c r="F34" s="312" t="s">
        <v>465</v>
      </c>
      <c r="G34" s="261">
        <v>40.9</v>
      </c>
      <c r="H34" s="261">
        <v>40.9</v>
      </c>
      <c r="I34" s="261">
        <v>40.9</v>
      </c>
      <c r="J34" s="261">
        <f>I34/G34*100</f>
        <v>100</v>
      </c>
      <c r="K34" s="261">
        <v>40</v>
      </c>
      <c r="L34" s="261">
        <v>10</v>
      </c>
      <c r="M34" s="261">
        <v>0</v>
      </c>
      <c r="N34" s="261">
        <f>M34/K34*100</f>
        <v>0</v>
      </c>
    </row>
    <row r="35" spans="1:14" s="51" customFormat="1" ht="58.5" customHeight="1" x14ac:dyDescent="0.25">
      <c r="A35" s="169">
        <v>1100000</v>
      </c>
      <c r="B35" s="170"/>
      <c r="C35" s="170"/>
      <c r="D35" s="171" t="s">
        <v>51</v>
      </c>
      <c r="E35" s="172"/>
      <c r="F35" s="173"/>
      <c r="G35" s="265"/>
      <c r="H35" s="265"/>
      <c r="I35" s="265"/>
      <c r="J35" s="265"/>
      <c r="K35" s="266"/>
      <c r="L35" s="266"/>
      <c r="M35" s="266"/>
      <c r="N35" s="266"/>
    </row>
    <row r="36" spans="1:14" s="53" customFormat="1" ht="60.75" customHeight="1" x14ac:dyDescent="0.25">
      <c r="A36" s="169">
        <v>1110000</v>
      </c>
      <c r="B36" s="170"/>
      <c r="C36" s="170"/>
      <c r="D36" s="174" t="s">
        <v>51</v>
      </c>
      <c r="E36" s="172"/>
      <c r="F36" s="173"/>
      <c r="G36" s="265"/>
      <c r="H36" s="265"/>
      <c r="I36" s="265"/>
      <c r="J36" s="265"/>
      <c r="K36" s="266"/>
      <c r="L36" s="266"/>
      <c r="M36" s="266"/>
      <c r="N36" s="266"/>
    </row>
    <row r="37" spans="1:14" s="51" customFormat="1" ht="53.25" customHeight="1" x14ac:dyDescent="0.25">
      <c r="A37" s="48">
        <v>1113132</v>
      </c>
      <c r="B37" s="21" t="s">
        <v>52</v>
      </c>
      <c r="C37" s="21" t="s">
        <v>53</v>
      </c>
      <c r="D37" s="28" t="s">
        <v>54</v>
      </c>
      <c r="E37" s="54"/>
      <c r="F37" s="13" t="s">
        <v>409</v>
      </c>
      <c r="G37" s="261">
        <f>G38</f>
        <v>1.5</v>
      </c>
      <c r="H37" s="261">
        <f>H38</f>
        <v>1.5</v>
      </c>
      <c r="I37" s="261">
        <f>I38</f>
        <v>1.5</v>
      </c>
      <c r="J37" s="261">
        <f>I37/G37*100</f>
        <v>100</v>
      </c>
      <c r="K37" s="261">
        <f>K38</f>
        <v>0</v>
      </c>
      <c r="L37" s="261"/>
      <c r="M37" s="261"/>
      <c r="N37" s="261"/>
    </row>
    <row r="38" spans="1:14" s="51" customFormat="1" ht="32.25" customHeight="1" x14ac:dyDescent="0.25">
      <c r="A38" s="42"/>
      <c r="B38" s="21"/>
      <c r="C38" s="21"/>
      <c r="D38" s="43"/>
      <c r="E38" s="54"/>
      <c r="F38" s="43" t="s">
        <v>411</v>
      </c>
      <c r="G38" s="260">
        <v>1.5</v>
      </c>
      <c r="H38" s="260">
        <v>1.5</v>
      </c>
      <c r="I38" s="260">
        <v>1.5</v>
      </c>
      <c r="J38" s="260"/>
      <c r="K38" s="260"/>
      <c r="L38" s="260"/>
      <c r="M38" s="260"/>
      <c r="N38" s="260"/>
    </row>
    <row r="39" spans="1:14" s="56" customFormat="1" ht="24.75" customHeight="1" x14ac:dyDescent="0.25">
      <c r="A39" s="24"/>
      <c r="B39" s="24"/>
      <c r="C39" s="24"/>
      <c r="D39" s="197" t="s">
        <v>50</v>
      </c>
      <c r="E39" s="199"/>
      <c r="F39" s="200"/>
      <c r="G39" s="262">
        <f>G37</f>
        <v>1.5</v>
      </c>
      <c r="H39" s="262">
        <f>H37</f>
        <v>1.5</v>
      </c>
      <c r="I39" s="262">
        <f t="shared" ref="I39:J39" si="2">I37</f>
        <v>1.5</v>
      </c>
      <c r="J39" s="262">
        <f t="shared" si="2"/>
        <v>100</v>
      </c>
      <c r="K39" s="262">
        <f>K37</f>
        <v>0</v>
      </c>
      <c r="L39" s="262"/>
      <c r="M39" s="262"/>
      <c r="N39" s="262"/>
    </row>
    <row r="40" spans="1:14" s="19" customFormat="1" ht="78" customHeight="1" x14ac:dyDescent="0.25">
      <c r="A40" s="176" t="s">
        <v>57</v>
      </c>
      <c r="B40" s="177"/>
      <c r="C40" s="177"/>
      <c r="D40" s="163" t="s">
        <v>407</v>
      </c>
      <c r="E40" s="178"/>
      <c r="F40" s="179"/>
      <c r="G40" s="267"/>
      <c r="H40" s="267"/>
      <c r="I40" s="267"/>
      <c r="J40" s="267"/>
      <c r="K40" s="267"/>
      <c r="L40" s="267"/>
      <c r="M40" s="267"/>
      <c r="N40" s="267"/>
    </row>
    <row r="41" spans="1:14" s="19" customFormat="1" ht="84.75" customHeight="1" x14ac:dyDescent="0.25">
      <c r="A41" s="176" t="s">
        <v>59</v>
      </c>
      <c r="B41" s="177"/>
      <c r="C41" s="177"/>
      <c r="D41" s="175" t="s">
        <v>407</v>
      </c>
      <c r="E41" s="178"/>
      <c r="F41" s="179"/>
      <c r="G41" s="267"/>
      <c r="H41" s="267"/>
      <c r="I41" s="267"/>
      <c r="J41" s="267"/>
      <c r="K41" s="267"/>
      <c r="L41" s="267"/>
      <c r="M41" s="267"/>
      <c r="N41" s="267"/>
    </row>
    <row r="42" spans="1:14" s="307" customFormat="1" ht="42" customHeight="1" x14ac:dyDescent="0.25">
      <c r="A42" s="303" t="s">
        <v>60</v>
      </c>
      <c r="B42" s="304" t="s">
        <v>61</v>
      </c>
      <c r="C42" s="304"/>
      <c r="D42" s="305" t="s">
        <v>62</v>
      </c>
      <c r="E42" s="203"/>
      <c r="F42" s="306"/>
      <c r="G42" s="268">
        <f>G43+G44+G48+G49+G50+G51</f>
        <v>563.29999999999995</v>
      </c>
      <c r="H42" s="268">
        <f>H43+H44+H48+H49+H50+H51</f>
        <v>538.79999999999995</v>
      </c>
      <c r="I42" s="268">
        <f>I43+I44+I48+I49+I50+I51</f>
        <v>388.5</v>
      </c>
      <c r="J42" s="268">
        <f>I42/G42*100</f>
        <v>68.968578022368192</v>
      </c>
      <c r="K42" s="268">
        <f>K43+K44+K48+K49+K50+K51</f>
        <v>111.6</v>
      </c>
      <c r="L42" s="268">
        <f>L43+L44+L48+L49+L50+L51</f>
        <v>17.600000000000001</v>
      </c>
      <c r="M42" s="268">
        <f>M43+M44+M48+M49+M50+M51</f>
        <v>0</v>
      </c>
      <c r="N42" s="268">
        <f>M42/K42*100</f>
        <v>0</v>
      </c>
    </row>
    <row r="43" spans="1:14" s="19" customFormat="1" ht="83.25" customHeight="1" x14ac:dyDescent="0.25">
      <c r="A43" s="21" t="s">
        <v>63</v>
      </c>
      <c r="B43" s="21" t="s">
        <v>64</v>
      </c>
      <c r="C43" s="21" t="s">
        <v>65</v>
      </c>
      <c r="D43" s="16" t="s">
        <v>66</v>
      </c>
      <c r="E43" s="57"/>
      <c r="F43" s="59" t="s">
        <v>67</v>
      </c>
      <c r="G43" s="261">
        <v>149.5</v>
      </c>
      <c r="H43" s="261">
        <v>149.5</v>
      </c>
      <c r="I43" s="261">
        <v>103.4</v>
      </c>
      <c r="J43" s="261"/>
      <c r="K43" s="261"/>
      <c r="L43" s="261"/>
      <c r="M43" s="261"/>
      <c r="N43" s="261"/>
    </row>
    <row r="44" spans="1:14" s="19" customFormat="1" ht="40.5" customHeight="1" x14ac:dyDescent="0.25">
      <c r="A44" s="24" t="s">
        <v>68</v>
      </c>
      <c r="B44" s="24" t="s">
        <v>69</v>
      </c>
      <c r="C44" s="24" t="s">
        <v>70</v>
      </c>
      <c r="D44" s="16" t="s">
        <v>71</v>
      </c>
      <c r="E44" s="57"/>
      <c r="F44" s="59" t="s">
        <v>72</v>
      </c>
      <c r="G44" s="261">
        <f>G45+G46+G47</f>
        <v>75.400000000000006</v>
      </c>
      <c r="H44" s="261">
        <f>H45+H46+H47</f>
        <v>61.900000000000006</v>
      </c>
      <c r="I44" s="261">
        <f>I45+I46+I47</f>
        <v>11.9</v>
      </c>
      <c r="J44" s="261">
        <f>I44/G44*100</f>
        <v>15.782493368700266</v>
      </c>
      <c r="K44" s="261">
        <f>K45+K46+K47</f>
        <v>0</v>
      </c>
      <c r="L44" s="261"/>
      <c r="M44" s="261"/>
      <c r="N44" s="261"/>
    </row>
    <row r="45" spans="1:14" s="51" customFormat="1" ht="36" customHeight="1" x14ac:dyDescent="0.25">
      <c r="A45" s="21"/>
      <c r="B45" s="21"/>
      <c r="C45" s="21"/>
      <c r="D45" s="28"/>
      <c r="E45" s="28"/>
      <c r="F45" s="43" t="s">
        <v>73</v>
      </c>
      <c r="G45" s="260">
        <v>15</v>
      </c>
      <c r="H45" s="260">
        <v>9</v>
      </c>
      <c r="I45" s="260">
        <v>1.1000000000000001</v>
      </c>
      <c r="J45" s="260"/>
      <c r="K45" s="260"/>
      <c r="L45" s="260"/>
      <c r="M45" s="260"/>
      <c r="N45" s="260"/>
    </row>
    <row r="46" spans="1:14" s="51" customFormat="1" ht="81.75" customHeight="1" x14ac:dyDescent="0.25">
      <c r="A46" s="42"/>
      <c r="B46" s="21"/>
      <c r="C46" s="21"/>
      <c r="D46" s="43"/>
      <c r="E46" s="28"/>
      <c r="F46" s="43" t="s">
        <v>412</v>
      </c>
      <c r="G46" s="260">
        <v>40</v>
      </c>
      <c r="H46" s="260">
        <v>42.7</v>
      </c>
      <c r="I46" s="260">
        <v>7.7</v>
      </c>
      <c r="J46" s="260"/>
      <c r="K46" s="260"/>
      <c r="L46" s="260"/>
      <c r="M46" s="260"/>
      <c r="N46" s="260"/>
    </row>
    <row r="47" spans="1:14" s="19" customFormat="1" ht="33" customHeight="1" x14ac:dyDescent="0.25">
      <c r="A47" s="24"/>
      <c r="B47" s="24"/>
      <c r="C47" s="24"/>
      <c r="D47" s="57"/>
      <c r="E47" s="57"/>
      <c r="F47" s="60" t="s">
        <v>75</v>
      </c>
      <c r="G47" s="260">
        <v>20.399999999999999</v>
      </c>
      <c r="H47" s="260">
        <v>10.199999999999999</v>
      </c>
      <c r="I47" s="260">
        <v>3.1</v>
      </c>
      <c r="J47" s="260"/>
      <c r="K47" s="260"/>
      <c r="L47" s="260"/>
      <c r="M47" s="260"/>
      <c r="N47" s="260"/>
    </row>
    <row r="48" spans="1:14" s="51" customFormat="1" ht="89.25" customHeight="1" x14ac:dyDescent="0.25">
      <c r="A48" s="21" t="s">
        <v>76</v>
      </c>
      <c r="B48" s="21" t="s">
        <v>77</v>
      </c>
      <c r="C48" s="21" t="s">
        <v>70</v>
      </c>
      <c r="D48" s="28" t="s">
        <v>78</v>
      </c>
      <c r="E48" s="28"/>
      <c r="F48" s="60" t="s">
        <v>79</v>
      </c>
      <c r="G48" s="261">
        <v>30</v>
      </c>
      <c r="H48" s="261">
        <v>19</v>
      </c>
      <c r="I48" s="261">
        <v>10.5</v>
      </c>
      <c r="J48" s="261">
        <f t="shared" ref="J48:J57" si="3">I48/G48*100</f>
        <v>35</v>
      </c>
      <c r="K48" s="261">
        <v>0</v>
      </c>
      <c r="L48" s="261"/>
      <c r="M48" s="261"/>
      <c r="N48" s="261"/>
    </row>
    <row r="49" spans="1:14" s="51" customFormat="1" ht="78.75" customHeight="1" x14ac:dyDescent="0.25">
      <c r="A49" s="21" t="s">
        <v>80</v>
      </c>
      <c r="B49" s="21" t="s">
        <v>81</v>
      </c>
      <c r="C49" s="21" t="s">
        <v>70</v>
      </c>
      <c r="D49" s="28" t="s">
        <v>82</v>
      </c>
      <c r="E49" s="28"/>
      <c r="F49" s="59" t="s">
        <v>83</v>
      </c>
      <c r="G49" s="261">
        <v>150</v>
      </c>
      <c r="H49" s="261">
        <v>150</v>
      </c>
      <c r="I49" s="261">
        <v>113.7</v>
      </c>
      <c r="J49" s="261">
        <f t="shared" si="3"/>
        <v>75.8</v>
      </c>
      <c r="K49" s="261"/>
      <c r="L49" s="261"/>
      <c r="M49" s="261"/>
      <c r="N49" s="261"/>
    </row>
    <row r="50" spans="1:14" s="19" customFormat="1" ht="71.25" customHeight="1" x14ac:dyDescent="0.25">
      <c r="A50" s="21" t="s">
        <v>84</v>
      </c>
      <c r="B50" s="21" t="s">
        <v>85</v>
      </c>
      <c r="C50" s="21" t="s">
        <v>70</v>
      </c>
      <c r="D50" s="28" t="s">
        <v>86</v>
      </c>
      <c r="E50" s="57"/>
      <c r="F50" s="61" t="s">
        <v>87</v>
      </c>
      <c r="G50" s="261">
        <v>158.4</v>
      </c>
      <c r="H50" s="261">
        <v>158.4</v>
      </c>
      <c r="I50" s="261">
        <v>149</v>
      </c>
      <c r="J50" s="261">
        <f t="shared" si="3"/>
        <v>94.065656565656568</v>
      </c>
      <c r="K50" s="261"/>
      <c r="L50" s="261"/>
      <c r="M50" s="261"/>
      <c r="N50" s="261"/>
    </row>
    <row r="51" spans="1:14" s="19" customFormat="1" ht="138.75" customHeight="1" x14ac:dyDescent="0.25">
      <c r="A51" s="21" t="s">
        <v>447</v>
      </c>
      <c r="B51" s="21" t="s">
        <v>448</v>
      </c>
      <c r="C51" s="21" t="s">
        <v>30</v>
      </c>
      <c r="D51" s="28" t="s">
        <v>449</v>
      </c>
      <c r="E51" s="57"/>
      <c r="F51" s="60" t="s">
        <v>450</v>
      </c>
      <c r="G51" s="261">
        <v>0</v>
      </c>
      <c r="H51" s="261"/>
      <c r="I51" s="261"/>
      <c r="J51" s="261"/>
      <c r="K51" s="261">
        <v>111.6</v>
      </c>
      <c r="L51" s="261">
        <v>17.600000000000001</v>
      </c>
      <c r="M51" s="261">
        <v>0</v>
      </c>
      <c r="N51" s="261"/>
    </row>
    <row r="52" spans="1:14" s="19" customFormat="1" ht="33.75" customHeight="1" x14ac:dyDescent="0.25">
      <c r="A52" s="207" t="s">
        <v>88</v>
      </c>
      <c r="B52" s="207" t="s">
        <v>89</v>
      </c>
      <c r="C52" s="207" t="s">
        <v>70</v>
      </c>
      <c r="D52" s="208" t="s">
        <v>90</v>
      </c>
      <c r="E52" s="203"/>
      <c r="F52" s="209"/>
      <c r="G52" s="268">
        <f>G53+G54+G55+G56</f>
        <v>487.75</v>
      </c>
      <c r="H52" s="268">
        <f>H53+H54+H55+H56</f>
        <v>291.75</v>
      </c>
      <c r="I52" s="268">
        <f>I53+I54+I55+I56</f>
        <v>214</v>
      </c>
      <c r="J52" s="268">
        <f t="shared" si="3"/>
        <v>43.87493593029216</v>
      </c>
      <c r="K52" s="268">
        <v>0</v>
      </c>
      <c r="L52" s="268">
        <v>0</v>
      </c>
      <c r="M52" s="268">
        <f t="shared" ref="M52" si="4">M53+M54+M55+M56+M42</f>
        <v>0</v>
      </c>
      <c r="N52" s="268" t="e">
        <f>M52/K52*100</f>
        <v>#DIV/0!</v>
      </c>
    </row>
    <row r="53" spans="1:14" s="19" customFormat="1" ht="55.5" customHeight="1" x14ac:dyDescent="0.25">
      <c r="A53" s="21" t="s">
        <v>91</v>
      </c>
      <c r="B53" s="42">
        <v>2221</v>
      </c>
      <c r="C53" s="21" t="s">
        <v>70</v>
      </c>
      <c r="D53" s="28"/>
      <c r="E53" s="28"/>
      <c r="F53" s="13" t="s">
        <v>280</v>
      </c>
      <c r="G53" s="261">
        <v>130</v>
      </c>
      <c r="H53" s="261">
        <v>76.5</v>
      </c>
      <c r="I53" s="261">
        <v>51.3</v>
      </c>
      <c r="J53" s="261">
        <f t="shared" si="3"/>
        <v>39.46153846153846</v>
      </c>
      <c r="K53" s="260"/>
      <c r="L53" s="260"/>
      <c r="M53" s="260"/>
      <c r="N53" s="260"/>
    </row>
    <row r="54" spans="1:14" s="19" customFormat="1" ht="105" customHeight="1" x14ac:dyDescent="0.25">
      <c r="A54" s="21" t="s">
        <v>92</v>
      </c>
      <c r="B54" s="42">
        <v>2222</v>
      </c>
      <c r="C54" s="21" t="s">
        <v>70</v>
      </c>
      <c r="D54" s="28"/>
      <c r="E54" s="28"/>
      <c r="F54" s="62" t="s">
        <v>93</v>
      </c>
      <c r="G54" s="261">
        <v>72</v>
      </c>
      <c r="H54" s="261">
        <v>42</v>
      </c>
      <c r="I54" s="261">
        <v>20.7</v>
      </c>
      <c r="J54" s="261">
        <f t="shared" si="3"/>
        <v>28.749999999999996</v>
      </c>
      <c r="K54" s="261"/>
      <c r="L54" s="261"/>
      <c r="M54" s="261"/>
      <c r="N54" s="261"/>
    </row>
    <row r="55" spans="1:14" s="19" customFormat="1" ht="86.25" customHeight="1" x14ac:dyDescent="0.25">
      <c r="A55" s="21" t="s">
        <v>94</v>
      </c>
      <c r="B55" s="42">
        <v>2223</v>
      </c>
      <c r="C55" s="21" t="s">
        <v>70</v>
      </c>
      <c r="D55" s="28"/>
      <c r="E55" s="28"/>
      <c r="F55" s="43" t="s">
        <v>95</v>
      </c>
      <c r="G55" s="261">
        <v>226</v>
      </c>
      <c r="H55" s="261">
        <v>133.5</v>
      </c>
      <c r="I55" s="261">
        <v>103.4</v>
      </c>
      <c r="J55" s="261">
        <f t="shared" si="3"/>
        <v>45.752212389380531</v>
      </c>
      <c r="K55" s="261"/>
      <c r="L55" s="261"/>
      <c r="M55" s="261"/>
      <c r="N55" s="261"/>
    </row>
    <row r="56" spans="1:14" s="51" customFormat="1" ht="69.75" customHeight="1" x14ac:dyDescent="0.25">
      <c r="A56" s="42">
        <v>1512224</v>
      </c>
      <c r="B56" s="21" t="s">
        <v>96</v>
      </c>
      <c r="C56" s="21" t="s">
        <v>70</v>
      </c>
      <c r="D56" s="16"/>
      <c r="E56" s="28"/>
      <c r="F56" s="13" t="s">
        <v>97</v>
      </c>
      <c r="G56" s="261">
        <v>59.75</v>
      </c>
      <c r="H56" s="261">
        <v>39.75</v>
      </c>
      <c r="I56" s="261">
        <v>38.6</v>
      </c>
      <c r="J56" s="261">
        <f t="shared" si="3"/>
        <v>64.602510460251054</v>
      </c>
      <c r="K56" s="261"/>
      <c r="L56" s="261"/>
      <c r="M56" s="261"/>
      <c r="N56" s="261"/>
    </row>
    <row r="57" spans="1:14" s="64" customFormat="1" ht="85.5" customHeight="1" x14ac:dyDescent="0.25">
      <c r="A57" s="42">
        <v>1513240</v>
      </c>
      <c r="B57" s="21" t="s">
        <v>98</v>
      </c>
      <c r="C57" s="21" t="s">
        <v>99</v>
      </c>
      <c r="D57" s="45" t="s">
        <v>100</v>
      </c>
      <c r="E57" s="63" t="s">
        <v>100</v>
      </c>
      <c r="F57" s="45" t="s">
        <v>101</v>
      </c>
      <c r="G57" s="261">
        <f>50+23.5</f>
        <v>73.5</v>
      </c>
      <c r="H57" s="261">
        <v>48.4</v>
      </c>
      <c r="I57" s="261">
        <v>46.234000000000002</v>
      </c>
      <c r="J57" s="261">
        <f t="shared" si="3"/>
        <v>62.903401360544223</v>
      </c>
      <c r="K57" s="261"/>
      <c r="L57" s="261"/>
      <c r="M57" s="261"/>
      <c r="N57" s="261"/>
    </row>
    <row r="58" spans="1:14" s="65" customFormat="1" ht="36" customHeight="1" x14ac:dyDescent="0.25">
      <c r="A58" s="48">
        <v>1513190</v>
      </c>
      <c r="B58" s="49" t="s">
        <v>102</v>
      </c>
      <c r="C58" s="49" t="s">
        <v>103</v>
      </c>
      <c r="D58" s="47"/>
      <c r="E58" s="47"/>
      <c r="F58" s="13" t="s">
        <v>281</v>
      </c>
      <c r="G58" s="261">
        <f>G59+G60+G63</f>
        <v>384.4</v>
      </c>
      <c r="H58" s="261">
        <f>H59+H60+H63</f>
        <v>226.4</v>
      </c>
      <c r="I58" s="261">
        <f>I59+I60+I63</f>
        <v>63.7</v>
      </c>
      <c r="J58" s="261">
        <f t="shared" ref="J58:N58" si="5">J59+J60+J63</f>
        <v>0</v>
      </c>
      <c r="K58" s="261">
        <f>K59+K60+K63</f>
        <v>500</v>
      </c>
      <c r="L58" s="261">
        <f t="shared" si="5"/>
        <v>0</v>
      </c>
      <c r="M58" s="261">
        <f t="shared" si="5"/>
        <v>0</v>
      </c>
      <c r="N58" s="261">
        <f t="shared" si="5"/>
        <v>0</v>
      </c>
    </row>
    <row r="59" spans="1:14" s="65" customFormat="1" ht="115.5" customHeight="1" x14ac:dyDescent="0.25">
      <c r="A59" s="42">
        <v>1513190</v>
      </c>
      <c r="B59" s="21" t="s">
        <v>102</v>
      </c>
      <c r="C59" s="21" t="s">
        <v>103</v>
      </c>
      <c r="D59" s="16" t="s">
        <v>104</v>
      </c>
      <c r="E59" s="47"/>
      <c r="F59" s="43" t="s">
        <v>300</v>
      </c>
      <c r="G59" s="260">
        <v>150</v>
      </c>
      <c r="H59" s="260">
        <v>87.5</v>
      </c>
      <c r="I59" s="260">
        <v>17.8</v>
      </c>
      <c r="J59" s="260"/>
      <c r="K59" s="260"/>
      <c r="L59" s="260"/>
      <c r="M59" s="260"/>
      <c r="N59" s="260"/>
    </row>
    <row r="60" spans="1:14" s="65" customFormat="1" ht="37.5" customHeight="1" x14ac:dyDescent="0.25">
      <c r="A60" s="42">
        <v>1513200</v>
      </c>
      <c r="B60" s="21" t="s">
        <v>105</v>
      </c>
      <c r="C60" s="21"/>
      <c r="D60" s="68" t="s">
        <v>106</v>
      </c>
      <c r="E60" s="47"/>
      <c r="F60" s="43"/>
      <c r="G60" s="260">
        <f>G61+G62</f>
        <v>234.4</v>
      </c>
      <c r="H60" s="260">
        <f>H61+H62</f>
        <v>138.9</v>
      </c>
      <c r="I60" s="260">
        <f>I61+I62</f>
        <v>45.9</v>
      </c>
      <c r="J60" s="260"/>
      <c r="K60" s="260">
        <f>K61+K62</f>
        <v>0</v>
      </c>
      <c r="L60" s="260"/>
      <c r="M60" s="260"/>
      <c r="N60" s="260"/>
    </row>
    <row r="61" spans="1:14" s="65" customFormat="1" ht="133.5" customHeight="1" x14ac:dyDescent="0.25">
      <c r="A61" s="42">
        <v>1513201</v>
      </c>
      <c r="B61" s="21" t="s">
        <v>107</v>
      </c>
      <c r="C61" s="21" t="s">
        <v>108</v>
      </c>
      <c r="D61" s="16" t="s">
        <v>109</v>
      </c>
      <c r="E61" s="13"/>
      <c r="F61" s="43" t="s">
        <v>110</v>
      </c>
      <c r="G61" s="260">
        <v>200</v>
      </c>
      <c r="H61" s="260">
        <v>118</v>
      </c>
      <c r="I61" s="260">
        <v>27</v>
      </c>
      <c r="J61" s="260"/>
      <c r="K61" s="260"/>
      <c r="L61" s="260"/>
      <c r="M61" s="260"/>
      <c r="N61" s="260"/>
    </row>
    <row r="62" spans="1:14" s="10" customFormat="1" ht="65.25" customHeight="1" x14ac:dyDescent="0.25">
      <c r="A62" s="42">
        <v>1513202</v>
      </c>
      <c r="B62" s="42">
        <v>3202</v>
      </c>
      <c r="C62" s="42">
        <v>1030</v>
      </c>
      <c r="D62" s="16" t="s">
        <v>111</v>
      </c>
      <c r="E62" s="66"/>
      <c r="F62" s="43" t="s">
        <v>112</v>
      </c>
      <c r="G62" s="260">
        <v>34.4</v>
      </c>
      <c r="H62" s="260">
        <v>20.9</v>
      </c>
      <c r="I62" s="260">
        <v>18.899999999999999</v>
      </c>
      <c r="J62" s="260"/>
      <c r="K62" s="260"/>
      <c r="L62" s="260"/>
      <c r="M62" s="260"/>
      <c r="N62" s="260"/>
    </row>
    <row r="63" spans="1:14" s="10" customFormat="1" ht="101.25" customHeight="1" x14ac:dyDescent="0.3">
      <c r="A63" s="233" t="s">
        <v>359</v>
      </c>
      <c r="B63" s="233" t="s">
        <v>360</v>
      </c>
      <c r="C63" s="233" t="s">
        <v>103</v>
      </c>
      <c r="D63" s="238" t="s">
        <v>361</v>
      </c>
      <c r="E63" s="66"/>
      <c r="F63" s="43" t="s">
        <v>358</v>
      </c>
      <c r="G63" s="260">
        <v>0</v>
      </c>
      <c r="H63" s="260">
        <v>0</v>
      </c>
      <c r="I63" s="260">
        <v>0</v>
      </c>
      <c r="J63" s="260"/>
      <c r="K63" s="260">
        <v>500</v>
      </c>
      <c r="L63" s="260">
        <v>0</v>
      </c>
      <c r="M63" s="260">
        <v>0</v>
      </c>
      <c r="N63" s="260"/>
    </row>
    <row r="64" spans="1:14" s="65" customFormat="1" ht="38.25" customHeight="1" x14ac:dyDescent="0.25">
      <c r="A64" s="21"/>
      <c r="B64" s="21"/>
      <c r="C64" s="21"/>
      <c r="D64" s="43"/>
      <c r="E64" s="43"/>
      <c r="F64" s="43" t="s">
        <v>113</v>
      </c>
      <c r="G64" s="261">
        <f>G65+G71+G73+G74+G77</f>
        <v>4982.2999999999993</v>
      </c>
      <c r="H64" s="261">
        <f>H65+H71+H73+H74+H77</f>
        <v>2484</v>
      </c>
      <c r="I64" s="261">
        <f>I65+I71+I73+I74+I77</f>
        <v>1959.8000000000002</v>
      </c>
      <c r="J64" s="261"/>
      <c r="K64" s="261"/>
      <c r="L64" s="261"/>
      <c r="M64" s="261"/>
      <c r="N64" s="261"/>
    </row>
    <row r="65" spans="1:14" s="65" customFormat="1" ht="275.25" customHeight="1" x14ac:dyDescent="0.25">
      <c r="A65" s="11" t="s">
        <v>114</v>
      </c>
      <c r="B65" s="11" t="s">
        <v>115</v>
      </c>
      <c r="C65" s="11" t="s">
        <v>108</v>
      </c>
      <c r="D65" s="67" t="s">
        <v>116</v>
      </c>
      <c r="E65" s="156" t="s">
        <v>116</v>
      </c>
      <c r="F65" s="43"/>
      <c r="G65" s="261">
        <f>G69+G70+G66+G67+G68</f>
        <v>1735.1</v>
      </c>
      <c r="H65" s="261">
        <f>H69+H70+H66+H67+H68</f>
        <v>1064</v>
      </c>
      <c r="I65" s="261">
        <f>I69+I70+I66+I67+I68</f>
        <v>885.7</v>
      </c>
      <c r="J65" s="261"/>
      <c r="K65" s="261"/>
      <c r="L65" s="261"/>
      <c r="M65" s="261"/>
      <c r="N65" s="261"/>
    </row>
    <row r="66" spans="1:14" s="228" customFormat="1" ht="54" customHeight="1" x14ac:dyDescent="0.25">
      <c r="A66" s="42">
        <v>1513031</v>
      </c>
      <c r="B66" s="21" t="s">
        <v>326</v>
      </c>
      <c r="C66" s="21"/>
      <c r="D66" s="28"/>
      <c r="E66" s="47"/>
      <c r="F66" s="43" t="s">
        <v>329</v>
      </c>
      <c r="G66" s="260">
        <v>75</v>
      </c>
      <c r="H66" s="260">
        <v>0</v>
      </c>
      <c r="I66" s="260">
        <v>0</v>
      </c>
      <c r="J66" s="260"/>
      <c r="K66" s="260"/>
      <c r="L66" s="260"/>
      <c r="M66" s="260"/>
      <c r="N66" s="260"/>
    </row>
    <row r="67" spans="1:14" s="228" customFormat="1" ht="54" customHeight="1" x14ac:dyDescent="0.25">
      <c r="A67" s="42">
        <v>1513033</v>
      </c>
      <c r="B67" s="21" t="s">
        <v>327</v>
      </c>
      <c r="C67" s="21"/>
      <c r="D67" s="28"/>
      <c r="E67" s="47"/>
      <c r="F67" s="43" t="s">
        <v>330</v>
      </c>
      <c r="G67" s="260">
        <v>36</v>
      </c>
      <c r="H67" s="260">
        <v>20</v>
      </c>
      <c r="I67" s="260">
        <v>9.1999999999999993</v>
      </c>
      <c r="J67" s="260"/>
      <c r="K67" s="260"/>
      <c r="L67" s="260"/>
      <c r="M67" s="260"/>
      <c r="N67" s="260"/>
    </row>
    <row r="68" spans="1:14" s="228" customFormat="1" ht="54" customHeight="1" x14ac:dyDescent="0.25">
      <c r="A68" s="42">
        <v>1513034</v>
      </c>
      <c r="B68" s="21" t="s">
        <v>328</v>
      </c>
      <c r="C68" s="21"/>
      <c r="D68" s="28"/>
      <c r="E68" s="47"/>
      <c r="F68" s="43" t="s">
        <v>331</v>
      </c>
      <c r="G68" s="260">
        <v>244.1</v>
      </c>
      <c r="H68" s="260">
        <v>220.9</v>
      </c>
      <c r="I68" s="260">
        <v>188.6</v>
      </c>
      <c r="J68" s="260"/>
      <c r="K68" s="260"/>
      <c r="L68" s="260"/>
      <c r="M68" s="260"/>
      <c r="N68" s="260"/>
    </row>
    <row r="69" spans="1:14" s="228" customFormat="1" ht="54" customHeight="1" x14ac:dyDescent="0.25">
      <c r="A69" s="42">
        <v>1513035</v>
      </c>
      <c r="B69" s="21" t="s">
        <v>117</v>
      </c>
      <c r="C69" s="21" t="s">
        <v>118</v>
      </c>
      <c r="D69" s="28" t="s">
        <v>119</v>
      </c>
      <c r="E69" s="47"/>
      <c r="F69" s="43" t="s">
        <v>120</v>
      </c>
      <c r="G69" s="260">
        <v>1350</v>
      </c>
      <c r="H69" s="260">
        <v>797.3</v>
      </c>
      <c r="I69" s="260">
        <v>668.9</v>
      </c>
      <c r="J69" s="260"/>
      <c r="K69" s="260"/>
      <c r="L69" s="260"/>
      <c r="M69" s="260"/>
      <c r="N69" s="260"/>
    </row>
    <row r="70" spans="1:14" s="228" customFormat="1" ht="54" customHeight="1" x14ac:dyDescent="0.25">
      <c r="A70" s="42">
        <v>1513037</v>
      </c>
      <c r="B70" s="21" t="s">
        <v>121</v>
      </c>
      <c r="C70" s="21" t="s">
        <v>118</v>
      </c>
      <c r="D70" s="28" t="s">
        <v>122</v>
      </c>
      <c r="E70" s="47"/>
      <c r="F70" s="43" t="s">
        <v>123</v>
      </c>
      <c r="G70" s="260">
        <v>30</v>
      </c>
      <c r="H70" s="260">
        <v>25.8</v>
      </c>
      <c r="I70" s="260">
        <v>19</v>
      </c>
      <c r="J70" s="260"/>
      <c r="K70" s="260"/>
      <c r="L70" s="260"/>
      <c r="M70" s="260"/>
      <c r="N70" s="260"/>
    </row>
    <row r="71" spans="1:14" s="65" customFormat="1" ht="120.75" customHeight="1" x14ac:dyDescent="0.25">
      <c r="A71" s="42">
        <v>1513180</v>
      </c>
      <c r="B71" s="21" t="s">
        <v>127</v>
      </c>
      <c r="C71" s="21"/>
      <c r="D71" s="67" t="s">
        <v>125</v>
      </c>
      <c r="E71" s="47"/>
      <c r="F71" s="43"/>
      <c r="G71" s="260">
        <f>G72</f>
        <v>200</v>
      </c>
      <c r="H71" s="260">
        <f>H72</f>
        <v>115</v>
      </c>
      <c r="I71" s="260">
        <f>I72</f>
        <v>81</v>
      </c>
      <c r="J71" s="260"/>
      <c r="K71" s="260">
        <f>K72</f>
        <v>0</v>
      </c>
      <c r="L71" s="260"/>
      <c r="M71" s="260"/>
      <c r="N71" s="260"/>
    </row>
    <row r="72" spans="1:14" s="10" customFormat="1" ht="101.25" customHeight="1" x14ac:dyDescent="0.25">
      <c r="A72" s="21" t="s">
        <v>126</v>
      </c>
      <c r="B72" s="21" t="s">
        <v>127</v>
      </c>
      <c r="C72" s="21" t="s">
        <v>128</v>
      </c>
      <c r="D72" s="43" t="s">
        <v>129</v>
      </c>
      <c r="E72" s="44"/>
      <c r="F72" s="45" t="s">
        <v>130</v>
      </c>
      <c r="G72" s="260">
        <v>200</v>
      </c>
      <c r="H72" s="260">
        <v>115</v>
      </c>
      <c r="I72" s="260">
        <v>81</v>
      </c>
      <c r="J72" s="260"/>
      <c r="K72" s="260"/>
      <c r="L72" s="260"/>
      <c r="M72" s="260"/>
      <c r="N72" s="260"/>
    </row>
    <row r="73" spans="1:14" s="64" customFormat="1" ht="114" customHeight="1" x14ac:dyDescent="0.25">
      <c r="A73" s="21" t="s">
        <v>131</v>
      </c>
      <c r="B73" s="21" t="s">
        <v>102</v>
      </c>
      <c r="C73" s="21" t="s">
        <v>103</v>
      </c>
      <c r="D73" s="16" t="s">
        <v>104</v>
      </c>
      <c r="E73" s="44"/>
      <c r="F73" s="45" t="s">
        <v>132</v>
      </c>
      <c r="G73" s="260">
        <v>116</v>
      </c>
      <c r="H73" s="260">
        <v>55.5</v>
      </c>
      <c r="I73" s="260">
        <v>22</v>
      </c>
      <c r="J73" s="260"/>
      <c r="K73" s="260"/>
      <c r="L73" s="260"/>
      <c r="M73" s="260"/>
      <c r="N73" s="260"/>
    </row>
    <row r="74" spans="1:14" s="64" customFormat="1" ht="38.25" customHeight="1" x14ac:dyDescent="0.25">
      <c r="A74" s="21" t="s">
        <v>133</v>
      </c>
      <c r="B74" s="21" t="s">
        <v>105</v>
      </c>
      <c r="C74" s="21"/>
      <c r="D74" s="68" t="s">
        <v>106</v>
      </c>
      <c r="E74" s="44"/>
      <c r="F74" s="45"/>
      <c r="G74" s="260">
        <f>G75+G76</f>
        <v>1130.0999999999999</v>
      </c>
      <c r="H74" s="260">
        <f>H75+H76</f>
        <v>252</v>
      </c>
      <c r="I74" s="260">
        <f>I75+I76</f>
        <v>217.9</v>
      </c>
      <c r="J74" s="260"/>
      <c r="K74" s="260">
        <f>K75+K76</f>
        <v>0</v>
      </c>
      <c r="L74" s="260"/>
      <c r="M74" s="260"/>
      <c r="N74" s="260"/>
    </row>
    <row r="75" spans="1:14" s="64" customFormat="1" ht="113.25" customHeight="1" x14ac:dyDescent="0.25">
      <c r="A75" s="21" t="s">
        <v>134</v>
      </c>
      <c r="B75" s="21" t="s">
        <v>107</v>
      </c>
      <c r="C75" s="21" t="s">
        <v>108</v>
      </c>
      <c r="D75" s="16" t="s">
        <v>109</v>
      </c>
      <c r="E75" s="44"/>
      <c r="F75" s="88" t="s">
        <v>135</v>
      </c>
      <c r="G75" s="260">
        <v>974</v>
      </c>
      <c r="H75" s="260">
        <v>149.69999999999999</v>
      </c>
      <c r="I75" s="260">
        <v>130.9</v>
      </c>
      <c r="J75" s="260"/>
      <c r="K75" s="260"/>
      <c r="L75" s="260"/>
      <c r="M75" s="260"/>
      <c r="N75" s="260"/>
    </row>
    <row r="76" spans="1:14" s="10" customFormat="1" ht="78" customHeight="1" x14ac:dyDescent="0.25">
      <c r="A76" s="24" t="s">
        <v>136</v>
      </c>
      <c r="B76" s="21" t="s">
        <v>137</v>
      </c>
      <c r="C76" s="21" t="s">
        <v>108</v>
      </c>
      <c r="D76" s="43" t="s">
        <v>111</v>
      </c>
      <c r="E76" s="44"/>
      <c r="F76" s="43" t="s">
        <v>138</v>
      </c>
      <c r="G76" s="260">
        <v>156.1</v>
      </c>
      <c r="H76" s="260">
        <v>102.3</v>
      </c>
      <c r="I76" s="260">
        <v>87</v>
      </c>
      <c r="J76" s="260"/>
      <c r="K76" s="260"/>
      <c r="L76" s="260"/>
      <c r="M76" s="260"/>
      <c r="N76" s="260"/>
    </row>
    <row r="77" spans="1:14" s="10" customFormat="1" ht="40.5" customHeight="1" x14ac:dyDescent="0.25">
      <c r="A77" s="24" t="s">
        <v>139</v>
      </c>
      <c r="B77" s="21" t="s">
        <v>140</v>
      </c>
      <c r="C77" s="21" t="s">
        <v>141</v>
      </c>
      <c r="D77" s="68" t="s">
        <v>142</v>
      </c>
      <c r="E77" s="44"/>
      <c r="F77" s="43"/>
      <c r="G77" s="260">
        <f>G78</f>
        <v>1801.1</v>
      </c>
      <c r="H77" s="260">
        <f>H78</f>
        <v>997.5</v>
      </c>
      <c r="I77" s="260">
        <f>I78</f>
        <v>753.2</v>
      </c>
      <c r="J77" s="260"/>
      <c r="K77" s="260">
        <f>K78</f>
        <v>0</v>
      </c>
      <c r="L77" s="260"/>
      <c r="M77" s="260"/>
      <c r="N77" s="260"/>
    </row>
    <row r="78" spans="1:14" s="65" customFormat="1" ht="191.25" customHeight="1" x14ac:dyDescent="0.25">
      <c r="A78" s="21" t="s">
        <v>143</v>
      </c>
      <c r="B78" s="21" t="s">
        <v>144</v>
      </c>
      <c r="C78" s="21" t="s">
        <v>141</v>
      </c>
      <c r="D78" s="16" t="s">
        <v>142</v>
      </c>
      <c r="E78" s="43"/>
      <c r="F78" s="43" t="s">
        <v>145</v>
      </c>
      <c r="G78" s="260">
        <v>1801.1</v>
      </c>
      <c r="H78" s="260">
        <v>997.5</v>
      </c>
      <c r="I78" s="260">
        <v>753.2</v>
      </c>
      <c r="J78" s="260"/>
      <c r="K78" s="260"/>
      <c r="L78" s="260"/>
      <c r="M78" s="260"/>
      <c r="N78" s="260"/>
    </row>
    <row r="79" spans="1:14" s="65" customFormat="1" ht="74.25" customHeight="1" x14ac:dyDescent="0.25">
      <c r="A79" s="21" t="s">
        <v>406</v>
      </c>
      <c r="B79" s="21" t="s">
        <v>52</v>
      </c>
      <c r="C79" s="21" t="s">
        <v>53</v>
      </c>
      <c r="D79" s="16" t="s">
        <v>54</v>
      </c>
      <c r="E79" s="43"/>
      <c r="F79" s="43" t="s">
        <v>410</v>
      </c>
      <c r="G79" s="260">
        <v>8.5</v>
      </c>
      <c r="H79" s="260">
        <v>8.1999999999999993</v>
      </c>
      <c r="I79" s="260">
        <v>7.7</v>
      </c>
      <c r="J79" s="260"/>
      <c r="K79" s="260"/>
      <c r="L79" s="260"/>
      <c r="M79" s="260"/>
      <c r="N79" s="260"/>
    </row>
    <row r="80" spans="1:14" s="65" customFormat="1" ht="101.25" customHeight="1" x14ac:dyDescent="0.3">
      <c r="A80" s="234" t="s">
        <v>349</v>
      </c>
      <c r="B80" s="233" t="s">
        <v>348</v>
      </c>
      <c r="C80" s="233" t="s">
        <v>141</v>
      </c>
      <c r="D80" s="235" t="s">
        <v>142</v>
      </c>
      <c r="E80" s="43"/>
      <c r="F80" s="13" t="s">
        <v>451</v>
      </c>
      <c r="G80" s="260">
        <v>215.3</v>
      </c>
      <c r="H80" s="260">
        <v>215.3</v>
      </c>
      <c r="I80" s="260">
        <v>215.3</v>
      </c>
      <c r="J80" s="260"/>
      <c r="K80" s="260"/>
      <c r="L80" s="260"/>
      <c r="M80" s="260"/>
      <c r="N80" s="260"/>
    </row>
    <row r="81" spans="1:14" s="10" customFormat="1" ht="27.75" customHeight="1" x14ac:dyDescent="0.25">
      <c r="A81" s="50"/>
      <c r="B81" s="34"/>
      <c r="C81" s="34"/>
      <c r="D81" s="197" t="s">
        <v>50</v>
      </c>
      <c r="E81" s="201"/>
      <c r="F81" s="202"/>
      <c r="G81" s="262">
        <f>G42+G52+G57+G58+G64+G80+G79</f>
        <v>6715.0499999999993</v>
      </c>
      <c r="H81" s="262">
        <f>H42+H52+H57+H58+H64+H80+H79</f>
        <v>3812.85</v>
      </c>
      <c r="I81" s="262">
        <f>I42+I52+I57+I58+I64+I80+I79</f>
        <v>2895.2340000000004</v>
      </c>
      <c r="J81" s="262">
        <f>J42+J52+J57+J58+J64+J80</f>
        <v>175.74691531320457</v>
      </c>
      <c r="K81" s="262">
        <f>K42+K58</f>
        <v>611.6</v>
      </c>
      <c r="L81" s="262">
        <f>L42+L58</f>
        <v>17.600000000000001</v>
      </c>
      <c r="M81" s="262">
        <f>M42+M58</f>
        <v>0</v>
      </c>
      <c r="N81" s="262" t="e">
        <f t="shared" ref="N81" si="6">N42+N52+N57+N58+N64+N80</f>
        <v>#DIV/0!</v>
      </c>
    </row>
    <row r="82" spans="1:14" s="10" customFormat="1" ht="43.5" customHeight="1" x14ac:dyDescent="0.25">
      <c r="A82" s="180">
        <v>2000000</v>
      </c>
      <c r="B82" s="167"/>
      <c r="C82" s="167"/>
      <c r="D82" s="181" t="s">
        <v>146</v>
      </c>
      <c r="E82" s="182"/>
      <c r="F82" s="165"/>
      <c r="G82" s="265"/>
      <c r="H82" s="265"/>
      <c r="I82" s="265"/>
      <c r="J82" s="265"/>
      <c r="K82" s="265"/>
      <c r="L82" s="265"/>
      <c r="M82" s="265"/>
      <c r="N82" s="265"/>
    </row>
    <row r="83" spans="1:14" s="71" customFormat="1" ht="43.5" customHeight="1" x14ac:dyDescent="0.25">
      <c r="A83" s="180">
        <v>2010000</v>
      </c>
      <c r="B83" s="167"/>
      <c r="C83" s="167"/>
      <c r="D83" s="183" t="s">
        <v>146</v>
      </c>
      <c r="E83" s="182"/>
      <c r="F83" s="165"/>
      <c r="G83" s="265"/>
      <c r="H83" s="265"/>
      <c r="I83" s="265"/>
      <c r="J83" s="265"/>
      <c r="K83" s="265"/>
      <c r="L83" s="265"/>
      <c r="M83" s="265"/>
      <c r="N83" s="265"/>
    </row>
    <row r="84" spans="1:14" s="71" customFormat="1" ht="43.5" customHeight="1" x14ac:dyDescent="0.25">
      <c r="A84" s="11" t="s">
        <v>147</v>
      </c>
      <c r="B84" s="11" t="s">
        <v>148</v>
      </c>
      <c r="C84" s="34"/>
      <c r="D84" s="156" t="s">
        <v>149</v>
      </c>
      <c r="E84" s="69"/>
      <c r="F84" s="9"/>
      <c r="G84" s="261">
        <f>G85</f>
        <v>5</v>
      </c>
      <c r="H84" s="261">
        <f>H85</f>
        <v>1.7</v>
      </c>
      <c r="I84" s="261">
        <f>I85</f>
        <v>0</v>
      </c>
      <c r="J84" s="261"/>
      <c r="K84" s="261">
        <f>K85</f>
        <v>0</v>
      </c>
      <c r="L84" s="261"/>
      <c r="M84" s="261"/>
      <c r="N84" s="261"/>
    </row>
    <row r="85" spans="1:14" s="10" customFormat="1" ht="66" customHeight="1" x14ac:dyDescent="0.25">
      <c r="A85" s="42">
        <v>2013112</v>
      </c>
      <c r="B85" s="21" t="s">
        <v>150</v>
      </c>
      <c r="C85" s="49" t="s">
        <v>53</v>
      </c>
      <c r="D85" s="72" t="s">
        <v>151</v>
      </c>
      <c r="E85" s="69"/>
      <c r="F85" s="62" t="s">
        <v>282</v>
      </c>
      <c r="G85" s="261">
        <v>5</v>
      </c>
      <c r="H85" s="261">
        <v>1.7</v>
      </c>
      <c r="I85" s="261">
        <v>0</v>
      </c>
      <c r="J85" s="261"/>
      <c r="K85" s="261"/>
      <c r="L85" s="261"/>
      <c r="M85" s="261"/>
      <c r="N85" s="261"/>
    </row>
    <row r="86" spans="1:14" s="73" customFormat="1" ht="35.25" customHeight="1" x14ac:dyDescent="0.25">
      <c r="A86" s="48"/>
      <c r="B86" s="49"/>
      <c r="C86" s="49"/>
      <c r="D86" s="197" t="s">
        <v>50</v>
      </c>
      <c r="E86" s="197"/>
      <c r="F86" s="198"/>
      <c r="G86" s="262">
        <f>G84</f>
        <v>5</v>
      </c>
      <c r="H86" s="262">
        <f>H84</f>
        <v>1.7</v>
      </c>
      <c r="I86" s="262">
        <f>I84</f>
        <v>0</v>
      </c>
      <c r="J86" s="262">
        <f>I86/G86*100</f>
        <v>0</v>
      </c>
      <c r="K86" s="262">
        <f>K84</f>
        <v>0</v>
      </c>
      <c r="L86" s="262"/>
      <c r="M86" s="262"/>
      <c r="N86" s="262"/>
    </row>
    <row r="87" spans="1:14" s="65" customFormat="1" ht="58.5" customHeight="1" x14ac:dyDescent="0.25">
      <c r="A87" s="169">
        <v>2400000</v>
      </c>
      <c r="B87" s="176"/>
      <c r="C87" s="176"/>
      <c r="D87" s="171" t="s">
        <v>152</v>
      </c>
      <c r="E87" s="184"/>
      <c r="F87" s="173"/>
      <c r="G87" s="265"/>
      <c r="H87" s="265"/>
      <c r="I87" s="265"/>
      <c r="J87" s="265"/>
      <c r="K87" s="265"/>
      <c r="L87" s="265"/>
      <c r="M87" s="265"/>
      <c r="N87" s="265"/>
    </row>
    <row r="88" spans="1:14" s="65" customFormat="1" ht="60.75" customHeight="1" x14ac:dyDescent="0.25">
      <c r="A88" s="169">
        <v>2410000</v>
      </c>
      <c r="B88" s="176"/>
      <c r="C88" s="176"/>
      <c r="D88" s="174" t="s">
        <v>152</v>
      </c>
      <c r="E88" s="184"/>
      <c r="F88" s="173"/>
      <c r="G88" s="265"/>
      <c r="H88" s="265"/>
      <c r="I88" s="265"/>
      <c r="J88" s="265"/>
      <c r="K88" s="265"/>
      <c r="L88" s="265"/>
      <c r="M88" s="265"/>
      <c r="N88" s="265"/>
    </row>
    <row r="89" spans="1:14" s="74" customFormat="1" ht="50.25" customHeight="1" x14ac:dyDescent="0.25">
      <c r="A89" s="42">
        <v>2413140</v>
      </c>
      <c r="B89" s="21" t="s">
        <v>153</v>
      </c>
      <c r="C89" s="21" t="s">
        <v>53</v>
      </c>
      <c r="D89" s="158" t="s">
        <v>251</v>
      </c>
      <c r="E89" s="28"/>
      <c r="F89" s="210" t="s">
        <v>154</v>
      </c>
      <c r="G89" s="270">
        <f>G90</f>
        <v>85</v>
      </c>
      <c r="H89" s="270">
        <f>H90</f>
        <v>45</v>
      </c>
      <c r="I89" s="270">
        <f>I90</f>
        <v>37.4</v>
      </c>
      <c r="J89" s="270">
        <f>I89/G89*100</f>
        <v>44</v>
      </c>
      <c r="K89" s="270">
        <f>SUM(K91:K93)</f>
        <v>0</v>
      </c>
      <c r="L89" s="270"/>
      <c r="M89" s="270"/>
      <c r="N89" s="270"/>
    </row>
    <row r="90" spans="1:14" s="74" customFormat="1" ht="85.5" customHeight="1" x14ac:dyDescent="0.3">
      <c r="A90" s="159" t="s">
        <v>249</v>
      </c>
      <c r="B90" s="159" t="s">
        <v>250</v>
      </c>
      <c r="C90" s="159" t="s">
        <v>53</v>
      </c>
      <c r="D90" s="158" t="s">
        <v>252</v>
      </c>
      <c r="E90" s="28"/>
      <c r="F90" s="43"/>
      <c r="G90" s="261">
        <f>SUM(G91:G93)</f>
        <v>85</v>
      </c>
      <c r="H90" s="261">
        <f>SUM(H91:H93)</f>
        <v>45</v>
      </c>
      <c r="I90" s="261">
        <f>SUM(I91:I93)</f>
        <v>37.4</v>
      </c>
      <c r="J90" s="261">
        <f>I90/G90*100</f>
        <v>44</v>
      </c>
      <c r="K90" s="261">
        <f t="shared" ref="K90" si="7">SUM(K91:K93)</f>
        <v>0</v>
      </c>
      <c r="L90" s="261"/>
      <c r="M90" s="261"/>
      <c r="N90" s="261"/>
    </row>
    <row r="91" spans="1:14" s="10" customFormat="1" ht="69" customHeight="1" x14ac:dyDescent="0.25">
      <c r="A91" s="24"/>
      <c r="B91" s="24"/>
      <c r="C91" s="24"/>
      <c r="D91" s="160" t="s">
        <v>178</v>
      </c>
      <c r="E91" s="57"/>
      <c r="F91" s="43" t="s">
        <v>155</v>
      </c>
      <c r="G91" s="260">
        <v>50</v>
      </c>
      <c r="H91" s="260">
        <v>20</v>
      </c>
      <c r="I91" s="260">
        <v>13.6</v>
      </c>
      <c r="J91" s="260"/>
      <c r="K91" s="261"/>
      <c r="L91" s="261"/>
      <c r="M91" s="261"/>
      <c r="N91" s="261"/>
    </row>
    <row r="92" spans="1:14" s="65" customFormat="1" ht="41.25" customHeight="1" x14ac:dyDescent="0.25">
      <c r="A92" s="21"/>
      <c r="B92" s="21"/>
      <c r="C92" s="21"/>
      <c r="D92" s="28"/>
      <c r="E92" s="28"/>
      <c r="F92" s="43" t="s">
        <v>156</v>
      </c>
      <c r="G92" s="260">
        <v>25</v>
      </c>
      <c r="H92" s="260">
        <v>25</v>
      </c>
      <c r="I92" s="260">
        <v>23.8</v>
      </c>
      <c r="J92" s="260"/>
      <c r="K92" s="261"/>
      <c r="L92" s="261"/>
      <c r="M92" s="261"/>
      <c r="N92" s="261"/>
    </row>
    <row r="93" spans="1:14" s="65" customFormat="1" ht="24.75" customHeight="1" x14ac:dyDescent="0.25">
      <c r="A93" s="21"/>
      <c r="B93" s="21"/>
      <c r="C93" s="21"/>
      <c r="D93" s="28"/>
      <c r="E93" s="28"/>
      <c r="F93" s="60" t="s">
        <v>157</v>
      </c>
      <c r="G93" s="260">
        <v>10</v>
      </c>
      <c r="H93" s="260">
        <v>0</v>
      </c>
      <c r="I93" s="260">
        <v>0</v>
      </c>
      <c r="J93" s="260"/>
      <c r="K93" s="260"/>
      <c r="L93" s="260"/>
      <c r="M93" s="260"/>
      <c r="N93" s="260"/>
    </row>
    <row r="94" spans="1:14" s="65" customFormat="1" ht="72.75" customHeight="1" x14ac:dyDescent="0.25">
      <c r="A94" s="21"/>
      <c r="B94" s="21"/>
      <c r="C94" s="21"/>
      <c r="D94" s="47"/>
      <c r="E94" s="47"/>
      <c r="F94" s="210" t="s">
        <v>158</v>
      </c>
      <c r="G94" s="270">
        <f>G95+G96+G99</f>
        <v>1117</v>
      </c>
      <c r="H94" s="270">
        <f>H95+H96+H99</f>
        <v>802.7</v>
      </c>
      <c r="I94" s="270">
        <f>I95+I96+I99</f>
        <v>620.45000000000005</v>
      </c>
      <c r="J94" s="270">
        <f>I94/G94*100</f>
        <v>55.546105640107434</v>
      </c>
      <c r="K94" s="270">
        <f>K95+K96+K99</f>
        <v>264</v>
      </c>
      <c r="L94" s="270">
        <f>L95+L96+L99</f>
        <v>264</v>
      </c>
      <c r="M94" s="270">
        <f>M95+M96+M99</f>
        <v>251.9</v>
      </c>
      <c r="N94" s="270">
        <f>M94/K94*100</f>
        <v>95.416666666666671</v>
      </c>
    </row>
    <row r="95" spans="1:14" s="65" customFormat="1" ht="117.75" customHeight="1" x14ac:dyDescent="0.25">
      <c r="A95" s="49" t="s">
        <v>159</v>
      </c>
      <c r="B95" s="21" t="s">
        <v>160</v>
      </c>
      <c r="C95" s="21" t="s">
        <v>161</v>
      </c>
      <c r="D95" s="28" t="s">
        <v>162</v>
      </c>
      <c r="E95" s="47"/>
      <c r="F95" s="43" t="s">
        <v>459</v>
      </c>
      <c r="G95" s="260">
        <v>617</v>
      </c>
      <c r="H95" s="260">
        <v>416.5</v>
      </c>
      <c r="I95" s="260">
        <v>395.3</v>
      </c>
      <c r="J95" s="260">
        <f>I95/G95*100</f>
        <v>64.06807131280388</v>
      </c>
      <c r="K95" s="261">
        <v>264</v>
      </c>
      <c r="L95" s="261">
        <v>264</v>
      </c>
      <c r="M95" s="261">
        <v>251.9</v>
      </c>
      <c r="N95" s="261"/>
    </row>
    <row r="96" spans="1:14" s="65" customFormat="1" ht="33.75" customHeight="1" x14ac:dyDescent="0.25">
      <c r="A96" s="11" t="s">
        <v>164</v>
      </c>
      <c r="B96" s="11" t="s">
        <v>165</v>
      </c>
      <c r="C96" s="21"/>
      <c r="D96" s="67" t="s">
        <v>166</v>
      </c>
      <c r="E96" s="212"/>
      <c r="F96" s="210"/>
      <c r="G96" s="271">
        <f>G97+G98</f>
        <v>300.2</v>
      </c>
      <c r="H96" s="271">
        <f>H97+H98</f>
        <v>199.6</v>
      </c>
      <c r="I96" s="271">
        <f>I97+I98</f>
        <v>142.55000000000001</v>
      </c>
      <c r="J96" s="271"/>
      <c r="K96" s="271">
        <f>K97+K98</f>
        <v>0</v>
      </c>
      <c r="L96" s="271"/>
      <c r="M96" s="271"/>
      <c r="N96" s="271"/>
    </row>
    <row r="97" spans="1:14" s="10" customFormat="1" ht="54.75" customHeight="1" x14ac:dyDescent="0.25">
      <c r="A97" s="42">
        <v>2415011</v>
      </c>
      <c r="B97" s="42">
        <v>5011</v>
      </c>
      <c r="C97" s="21" t="s">
        <v>167</v>
      </c>
      <c r="D97" s="67" t="s">
        <v>168</v>
      </c>
      <c r="E97" s="66"/>
      <c r="F97" s="43" t="s">
        <v>169</v>
      </c>
      <c r="G97" s="260">
        <v>173.2</v>
      </c>
      <c r="H97" s="260">
        <v>103.1</v>
      </c>
      <c r="I97" s="260">
        <v>75.3</v>
      </c>
      <c r="J97" s="260"/>
      <c r="K97" s="272"/>
      <c r="L97" s="272"/>
      <c r="M97" s="272"/>
      <c r="N97" s="272"/>
    </row>
    <row r="98" spans="1:14" s="65" customFormat="1" ht="56.25" customHeight="1" x14ac:dyDescent="0.25">
      <c r="A98" s="42">
        <v>2415012</v>
      </c>
      <c r="B98" s="21" t="s">
        <v>170</v>
      </c>
      <c r="C98" s="21" t="s">
        <v>167</v>
      </c>
      <c r="D98" s="43" t="s">
        <v>171</v>
      </c>
      <c r="E98" s="43" t="s">
        <v>171</v>
      </c>
      <c r="F98" s="43" t="s">
        <v>172</v>
      </c>
      <c r="G98" s="260">
        <v>127</v>
      </c>
      <c r="H98" s="260">
        <v>96.5</v>
      </c>
      <c r="I98" s="260">
        <v>67.25</v>
      </c>
      <c r="J98" s="260"/>
      <c r="K98" s="261"/>
      <c r="L98" s="261"/>
      <c r="M98" s="261"/>
      <c r="N98" s="261"/>
    </row>
    <row r="99" spans="1:14" s="74" customFormat="1" ht="44.25" customHeight="1" x14ac:dyDescent="0.25">
      <c r="A99" s="42">
        <v>2412060</v>
      </c>
      <c r="B99" s="21" t="s">
        <v>173</v>
      </c>
      <c r="C99" s="21" t="s">
        <v>167</v>
      </c>
      <c r="D99" s="67" t="s">
        <v>253</v>
      </c>
      <c r="E99" s="28"/>
      <c r="F99" s="210"/>
      <c r="G99" s="271">
        <f>G100</f>
        <v>199.8</v>
      </c>
      <c r="H99" s="271">
        <f>H100</f>
        <v>186.6</v>
      </c>
      <c r="I99" s="271">
        <f>I100</f>
        <v>82.6</v>
      </c>
      <c r="J99" s="271"/>
      <c r="K99" s="271"/>
      <c r="L99" s="271"/>
      <c r="M99" s="271"/>
      <c r="N99" s="271"/>
    </row>
    <row r="100" spans="1:14" s="74" customFormat="1" ht="166.5" customHeight="1" x14ac:dyDescent="0.25">
      <c r="A100" s="11" t="s">
        <v>255</v>
      </c>
      <c r="B100" s="11" t="s">
        <v>256</v>
      </c>
      <c r="C100" s="11" t="s">
        <v>167</v>
      </c>
      <c r="D100" s="67" t="s">
        <v>254</v>
      </c>
      <c r="E100" s="28"/>
      <c r="F100" s="43" t="s">
        <v>174</v>
      </c>
      <c r="G100" s="260">
        <v>199.8</v>
      </c>
      <c r="H100" s="260">
        <v>186.6</v>
      </c>
      <c r="I100" s="260">
        <v>82.6</v>
      </c>
      <c r="J100" s="260"/>
      <c r="K100" s="260"/>
      <c r="L100" s="260"/>
      <c r="M100" s="260"/>
      <c r="N100" s="260"/>
    </row>
    <row r="101" spans="1:14" s="74" customFormat="1" ht="42.75" customHeight="1" x14ac:dyDescent="0.25">
      <c r="A101" s="11"/>
      <c r="B101" s="11"/>
      <c r="C101" s="11"/>
      <c r="D101" s="67"/>
      <c r="E101" s="28"/>
      <c r="F101" s="13" t="s">
        <v>413</v>
      </c>
      <c r="G101" s="260">
        <f>G103+G102+G104+G105</f>
        <v>224.82999999999998</v>
      </c>
      <c r="H101" s="260">
        <f>H103+H102+H104+H105</f>
        <v>118.5</v>
      </c>
      <c r="I101" s="260">
        <f>I103+I102+I104+I105</f>
        <v>115.142</v>
      </c>
      <c r="J101" s="260">
        <f>I101/G101*100</f>
        <v>51.212916425743892</v>
      </c>
      <c r="K101" s="260"/>
      <c r="L101" s="260"/>
      <c r="M101" s="260"/>
      <c r="N101" s="260"/>
    </row>
    <row r="102" spans="1:14" s="228" customFormat="1" ht="78" customHeight="1" x14ac:dyDescent="0.25">
      <c r="A102" s="21" t="s">
        <v>398</v>
      </c>
      <c r="B102" s="21"/>
      <c r="C102" s="21" t="s">
        <v>161</v>
      </c>
      <c r="D102" s="28" t="s">
        <v>399</v>
      </c>
      <c r="E102" s="47"/>
      <c r="F102" s="43" t="s">
        <v>400</v>
      </c>
      <c r="G102" s="260">
        <v>100</v>
      </c>
      <c r="H102" s="260">
        <v>100</v>
      </c>
      <c r="I102" s="260">
        <v>96.8</v>
      </c>
      <c r="J102" s="260"/>
      <c r="K102" s="261"/>
      <c r="L102" s="261"/>
      <c r="M102" s="261"/>
      <c r="N102" s="261"/>
    </row>
    <row r="103" spans="1:14" s="74" customFormat="1" ht="73.5" customHeight="1" x14ac:dyDescent="0.25">
      <c r="A103" s="289" t="s">
        <v>414</v>
      </c>
      <c r="B103" s="289" t="s">
        <v>415</v>
      </c>
      <c r="C103" s="289" t="s">
        <v>416</v>
      </c>
      <c r="D103" s="293" t="s">
        <v>417</v>
      </c>
      <c r="E103" s="290"/>
      <c r="F103" s="291" t="s">
        <v>452</v>
      </c>
      <c r="G103" s="292">
        <v>88.7</v>
      </c>
      <c r="H103" s="292">
        <v>18.5</v>
      </c>
      <c r="I103" s="292">
        <v>18.341999999999999</v>
      </c>
      <c r="J103" s="260"/>
      <c r="K103" s="260"/>
      <c r="L103" s="260"/>
      <c r="M103" s="260"/>
      <c r="N103" s="260"/>
    </row>
    <row r="104" spans="1:14" s="74" customFormat="1" ht="73.5" customHeight="1" x14ac:dyDescent="0.25">
      <c r="A104" s="301">
        <v>2415012</v>
      </c>
      <c r="B104" s="289" t="s">
        <v>170</v>
      </c>
      <c r="C104" s="289" t="s">
        <v>167</v>
      </c>
      <c r="D104" s="302" t="s">
        <v>171</v>
      </c>
      <c r="E104" s="290"/>
      <c r="F104" s="291" t="s">
        <v>453</v>
      </c>
      <c r="G104" s="292">
        <v>32</v>
      </c>
      <c r="H104" s="292">
        <v>0</v>
      </c>
      <c r="I104" s="292">
        <v>0</v>
      </c>
      <c r="J104" s="260"/>
      <c r="K104" s="260"/>
      <c r="L104" s="260"/>
      <c r="M104" s="260"/>
      <c r="N104" s="260"/>
    </row>
    <row r="105" spans="1:14" s="74" customFormat="1" ht="73.5" customHeight="1" x14ac:dyDescent="0.25">
      <c r="A105" s="289" t="s">
        <v>455</v>
      </c>
      <c r="B105" s="289" t="s">
        <v>456</v>
      </c>
      <c r="C105" s="289" t="s">
        <v>167</v>
      </c>
      <c r="D105" s="293" t="s">
        <v>454</v>
      </c>
      <c r="E105" s="290"/>
      <c r="F105" s="291" t="s">
        <v>457</v>
      </c>
      <c r="G105" s="292">
        <v>4.13</v>
      </c>
      <c r="H105" s="292">
        <v>0</v>
      </c>
      <c r="I105" s="292">
        <v>0</v>
      </c>
      <c r="J105" s="260"/>
      <c r="K105" s="260"/>
      <c r="L105" s="260"/>
      <c r="M105" s="260"/>
      <c r="N105" s="260"/>
    </row>
    <row r="106" spans="1:14" s="10" customFormat="1" ht="23.25" customHeight="1" x14ac:dyDescent="0.25">
      <c r="A106" s="24"/>
      <c r="B106" s="77"/>
      <c r="C106" s="77"/>
      <c r="D106" s="197" t="s">
        <v>50</v>
      </c>
      <c r="E106" s="203"/>
      <c r="F106" s="196"/>
      <c r="G106" s="262">
        <f>G89+G94+G101</f>
        <v>1426.83</v>
      </c>
      <c r="H106" s="262">
        <f>H89+H94+H101</f>
        <v>966.2</v>
      </c>
      <c r="I106" s="262">
        <f>I89+I94+I101</f>
        <v>772.99199999999996</v>
      </c>
      <c r="J106" s="262">
        <f>I106/G106*100</f>
        <v>54.175479910010303</v>
      </c>
      <c r="K106" s="262">
        <f>K89+K94</f>
        <v>264</v>
      </c>
      <c r="L106" s="262">
        <f>L89+L94</f>
        <v>264</v>
      </c>
      <c r="M106" s="262">
        <f>M89+M94</f>
        <v>251.9</v>
      </c>
      <c r="N106" s="262"/>
    </row>
    <row r="107" spans="1:14" s="65" customFormat="1" ht="98.25" customHeight="1" x14ac:dyDescent="0.25">
      <c r="A107" s="169">
        <v>4000000</v>
      </c>
      <c r="B107" s="185"/>
      <c r="C107" s="185"/>
      <c r="D107" s="186" t="s">
        <v>408</v>
      </c>
      <c r="E107" s="172"/>
      <c r="F107" s="173"/>
      <c r="G107" s="265"/>
      <c r="H107" s="265"/>
      <c r="I107" s="265"/>
      <c r="J107" s="265"/>
      <c r="K107" s="265"/>
      <c r="L107" s="265"/>
      <c r="M107" s="265"/>
      <c r="N107" s="265"/>
    </row>
    <row r="108" spans="1:14" s="74" customFormat="1" ht="76.5" customHeight="1" x14ac:dyDescent="0.25">
      <c r="A108" s="187">
        <v>4010000</v>
      </c>
      <c r="B108" s="185"/>
      <c r="C108" s="185"/>
      <c r="D108" s="188" t="s">
        <v>408</v>
      </c>
      <c r="E108" s="172"/>
      <c r="F108" s="189"/>
      <c r="G108" s="267"/>
      <c r="H108" s="267"/>
      <c r="I108" s="267"/>
      <c r="J108" s="267"/>
      <c r="K108" s="267"/>
      <c r="L108" s="267"/>
      <c r="M108" s="267"/>
      <c r="N108" s="267"/>
    </row>
    <row r="109" spans="1:14" s="74" customFormat="1" ht="53.25" customHeight="1" x14ac:dyDescent="0.25">
      <c r="A109" s="42"/>
      <c r="B109" s="42"/>
      <c r="C109" s="42"/>
      <c r="D109" s="43"/>
      <c r="E109" s="41"/>
      <c r="F109" s="43" t="s">
        <v>176</v>
      </c>
      <c r="G109" s="261">
        <f>G110+G121+G123+G126+G141+G148</f>
        <v>21141.8</v>
      </c>
      <c r="H109" s="261">
        <f>H110+H121+H123+H126+H141+H148</f>
        <v>14640.922</v>
      </c>
      <c r="I109" s="261">
        <f>I110+I121+I123+I126+I141+I148</f>
        <v>11688.350999999999</v>
      </c>
      <c r="J109" s="261">
        <f>I109/G109*100</f>
        <v>55.285505491490781</v>
      </c>
      <c r="K109" s="261">
        <f>K110+K121+K123+K126+K141+K148</f>
        <v>8538.7919999999995</v>
      </c>
      <c r="L109" s="261">
        <f>L110+L121+L123+L126+L141+L148</f>
        <v>5858.9920000000002</v>
      </c>
      <c r="M109" s="261">
        <f>M110+M121+M123+M126+M141+M148</f>
        <v>3784.0629999999996</v>
      </c>
      <c r="N109" s="261">
        <f>M109/K109*100</f>
        <v>44.316139800571321</v>
      </c>
    </row>
    <row r="110" spans="1:14" s="74" customFormat="1" ht="81" customHeight="1" x14ac:dyDescent="0.25">
      <c r="A110" s="42">
        <v>4016010</v>
      </c>
      <c r="B110" s="42">
        <v>6010</v>
      </c>
      <c r="C110" s="42">
        <v>610</v>
      </c>
      <c r="D110" s="43" t="s">
        <v>177</v>
      </c>
      <c r="E110" s="41"/>
      <c r="F110" s="43"/>
      <c r="G110" s="261">
        <f>SUM(G111:G120)</f>
        <v>3554.7</v>
      </c>
      <c r="H110" s="261">
        <f>SUM(H111:H120)</f>
        <v>2894.7</v>
      </c>
      <c r="I110" s="261">
        <f>SUM(I111:I120)</f>
        <v>2728.6</v>
      </c>
      <c r="J110" s="261">
        <f t="shared" ref="J110" si="8">SUM(J111:J125)</f>
        <v>0</v>
      </c>
      <c r="K110" s="260"/>
      <c r="L110" s="260"/>
      <c r="M110" s="260"/>
      <c r="N110" s="260"/>
    </row>
    <row r="111" spans="1:14" s="74" customFormat="1" ht="108.75" customHeight="1" x14ac:dyDescent="0.25">
      <c r="A111" s="42"/>
      <c r="B111" s="42"/>
      <c r="C111" s="42"/>
      <c r="D111" s="80" t="s">
        <v>178</v>
      </c>
      <c r="E111" s="41"/>
      <c r="F111" s="43" t="s">
        <v>179</v>
      </c>
      <c r="G111" s="260">
        <v>507</v>
      </c>
      <c r="H111" s="260">
        <v>507</v>
      </c>
      <c r="I111" s="260">
        <v>501.4</v>
      </c>
      <c r="J111" s="260"/>
      <c r="K111" s="260"/>
      <c r="L111" s="260"/>
      <c r="M111" s="260"/>
      <c r="N111" s="260"/>
    </row>
    <row r="112" spans="1:14" s="74" customFormat="1" ht="73.5" customHeight="1" x14ac:dyDescent="0.25">
      <c r="A112" s="42"/>
      <c r="B112" s="42"/>
      <c r="C112" s="42"/>
      <c r="D112" s="80"/>
      <c r="E112" s="41"/>
      <c r="F112" s="43" t="s">
        <v>432</v>
      </c>
      <c r="G112" s="278">
        <v>130</v>
      </c>
      <c r="H112" s="278">
        <v>30</v>
      </c>
      <c r="I112" s="278">
        <v>0</v>
      </c>
      <c r="J112" s="260"/>
      <c r="K112" s="260"/>
      <c r="L112" s="260"/>
      <c r="M112" s="260"/>
      <c r="N112" s="260"/>
    </row>
    <row r="113" spans="1:14" s="74" customFormat="1" ht="49.5" customHeight="1" x14ac:dyDescent="0.25">
      <c r="A113" s="42"/>
      <c r="B113" s="42"/>
      <c r="C113" s="42"/>
      <c r="D113" s="43"/>
      <c r="E113" s="41"/>
      <c r="F113" s="43" t="s">
        <v>180</v>
      </c>
      <c r="G113" s="260">
        <v>2000</v>
      </c>
      <c r="H113" s="260">
        <v>1800</v>
      </c>
      <c r="I113" s="260">
        <f>1718.3+0.1</f>
        <v>1718.3999999999999</v>
      </c>
      <c r="J113" s="260"/>
      <c r="K113" s="260"/>
      <c r="L113" s="260"/>
      <c r="M113" s="260"/>
      <c r="N113" s="260"/>
    </row>
    <row r="114" spans="1:14" s="74" customFormat="1" ht="65.25" customHeight="1" x14ac:dyDescent="0.25">
      <c r="A114" s="42"/>
      <c r="B114" s="42"/>
      <c r="C114" s="42"/>
      <c r="D114" s="43"/>
      <c r="E114" s="41"/>
      <c r="F114" s="43" t="s">
        <v>433</v>
      </c>
      <c r="G114" s="278">
        <v>340</v>
      </c>
      <c r="H114" s="278">
        <v>0</v>
      </c>
      <c r="I114" s="278">
        <v>0</v>
      </c>
      <c r="J114" s="260"/>
      <c r="K114" s="260"/>
      <c r="L114" s="260"/>
      <c r="M114" s="260"/>
      <c r="N114" s="260"/>
    </row>
    <row r="115" spans="1:14" s="74" customFormat="1" ht="41.25" customHeight="1" x14ac:dyDescent="0.25">
      <c r="A115" s="42"/>
      <c r="B115" s="42"/>
      <c r="C115" s="42"/>
      <c r="D115" s="43"/>
      <c r="E115" s="41"/>
      <c r="F115" s="43" t="s">
        <v>263</v>
      </c>
      <c r="G115" s="260">
        <f>214-17</f>
        <v>197</v>
      </c>
      <c r="H115" s="260">
        <v>197</v>
      </c>
      <c r="I115" s="260">
        <v>197</v>
      </c>
      <c r="J115" s="260"/>
      <c r="K115" s="260"/>
      <c r="L115" s="260"/>
      <c r="M115" s="260"/>
      <c r="N115" s="260"/>
    </row>
    <row r="116" spans="1:14" s="74" customFormat="1" ht="49.5" customHeight="1" x14ac:dyDescent="0.25">
      <c r="A116" s="42"/>
      <c r="B116" s="42"/>
      <c r="C116" s="42"/>
      <c r="D116" s="43"/>
      <c r="E116" s="41"/>
      <c r="F116" s="43" t="s">
        <v>310</v>
      </c>
      <c r="G116" s="260">
        <v>67.7</v>
      </c>
      <c r="H116" s="260">
        <v>67.7</v>
      </c>
      <c r="I116" s="260">
        <v>53.1</v>
      </c>
      <c r="J116" s="260"/>
      <c r="K116" s="260"/>
      <c r="L116" s="260"/>
      <c r="M116" s="260"/>
      <c r="N116" s="260"/>
    </row>
    <row r="117" spans="1:14" s="74" customFormat="1" ht="49.5" customHeight="1" x14ac:dyDescent="0.25">
      <c r="A117" s="42"/>
      <c r="B117" s="42"/>
      <c r="C117" s="42"/>
      <c r="D117" s="43"/>
      <c r="E117" s="41"/>
      <c r="F117" s="43" t="s">
        <v>311</v>
      </c>
      <c r="G117" s="260">
        <v>145</v>
      </c>
      <c r="H117" s="260">
        <v>145</v>
      </c>
      <c r="I117" s="260">
        <v>139.4</v>
      </c>
      <c r="J117" s="260"/>
      <c r="K117" s="260"/>
      <c r="L117" s="260"/>
      <c r="M117" s="260"/>
      <c r="N117" s="260"/>
    </row>
    <row r="118" spans="1:14" s="74" customFormat="1" ht="49.5" hidden="1" customHeight="1" x14ac:dyDescent="0.25">
      <c r="A118" s="42"/>
      <c r="B118" s="42"/>
      <c r="C118" s="42"/>
      <c r="D118" s="43"/>
      <c r="E118" s="41"/>
      <c r="F118" s="43" t="s">
        <v>312</v>
      </c>
      <c r="G118" s="260">
        <f>62-62</f>
        <v>0</v>
      </c>
      <c r="H118" s="260">
        <v>0</v>
      </c>
      <c r="I118" s="260">
        <v>0</v>
      </c>
      <c r="J118" s="260"/>
      <c r="K118" s="260"/>
      <c r="L118" s="260"/>
      <c r="M118" s="260"/>
      <c r="N118" s="260"/>
    </row>
    <row r="119" spans="1:14" s="74" customFormat="1" ht="68.25" customHeight="1" x14ac:dyDescent="0.25">
      <c r="A119" s="42"/>
      <c r="B119" s="42"/>
      <c r="C119" s="42"/>
      <c r="D119" s="43"/>
      <c r="E119" s="41"/>
      <c r="F119" s="43" t="s">
        <v>301</v>
      </c>
      <c r="G119" s="260">
        <v>94</v>
      </c>
      <c r="H119" s="260">
        <v>74</v>
      </c>
      <c r="I119" s="260">
        <v>47.9</v>
      </c>
      <c r="J119" s="260"/>
      <c r="K119" s="260"/>
      <c r="L119" s="260"/>
      <c r="M119" s="260"/>
      <c r="N119" s="260"/>
    </row>
    <row r="120" spans="1:14" s="74" customFormat="1" ht="53.25" customHeight="1" x14ac:dyDescent="0.25">
      <c r="A120" s="42"/>
      <c r="B120" s="42"/>
      <c r="C120" s="42"/>
      <c r="D120" s="43"/>
      <c r="E120" s="41"/>
      <c r="F120" s="43" t="s">
        <v>377</v>
      </c>
      <c r="G120" s="260">
        <v>74</v>
      </c>
      <c r="H120" s="260">
        <v>74</v>
      </c>
      <c r="I120" s="260">
        <v>71.400000000000006</v>
      </c>
      <c r="J120" s="260"/>
      <c r="K120" s="260"/>
      <c r="L120" s="260"/>
      <c r="M120" s="260"/>
      <c r="N120" s="260"/>
    </row>
    <row r="121" spans="1:14" s="74" customFormat="1" ht="36.75" customHeight="1" x14ac:dyDescent="0.25">
      <c r="A121" s="11" t="s">
        <v>181</v>
      </c>
      <c r="B121" s="11" t="s">
        <v>182</v>
      </c>
      <c r="C121" s="42"/>
      <c r="D121" s="43" t="s">
        <v>183</v>
      </c>
      <c r="E121" s="43" t="s">
        <v>183</v>
      </c>
      <c r="F121" s="43"/>
      <c r="G121" s="261">
        <f>G122</f>
        <v>0</v>
      </c>
      <c r="H121" s="261"/>
      <c r="I121" s="261"/>
      <c r="J121" s="261"/>
      <c r="K121" s="261">
        <f>K122</f>
        <v>5141.7</v>
      </c>
      <c r="L121" s="261">
        <f>L122</f>
        <v>3171.7</v>
      </c>
      <c r="M121" s="261">
        <f>M122</f>
        <v>1789</v>
      </c>
      <c r="N121" s="261">
        <f>M121/K121*100</f>
        <v>34.793939747554312</v>
      </c>
    </row>
    <row r="122" spans="1:14" s="224" customFormat="1" ht="51.75" customHeight="1" x14ac:dyDescent="0.25">
      <c r="A122" s="42">
        <v>4016021</v>
      </c>
      <c r="B122" s="42">
        <v>6021</v>
      </c>
      <c r="C122" s="42">
        <v>610</v>
      </c>
      <c r="D122" s="43" t="s">
        <v>184</v>
      </c>
      <c r="E122" s="43" t="s">
        <v>184</v>
      </c>
      <c r="F122" s="43" t="s">
        <v>290</v>
      </c>
      <c r="G122" s="260"/>
      <c r="H122" s="260"/>
      <c r="I122" s="260"/>
      <c r="J122" s="260"/>
      <c r="K122" s="260">
        <v>5141.7</v>
      </c>
      <c r="L122" s="260">
        <v>3171.7</v>
      </c>
      <c r="M122" s="260">
        <v>1789</v>
      </c>
      <c r="N122" s="260"/>
    </row>
    <row r="123" spans="1:14" s="74" customFormat="1" ht="38.25" customHeight="1" x14ac:dyDescent="0.25">
      <c r="A123" s="11" t="s">
        <v>185</v>
      </c>
      <c r="B123" s="11" t="s">
        <v>186</v>
      </c>
      <c r="C123" s="42"/>
      <c r="D123" s="156" t="s">
        <v>187</v>
      </c>
      <c r="E123" s="41"/>
      <c r="F123" s="43"/>
      <c r="G123" s="261">
        <f>G125</f>
        <v>600</v>
      </c>
      <c r="H123" s="261">
        <f t="shared" ref="H123:I123" si="9">H125</f>
        <v>600</v>
      </c>
      <c r="I123" s="261">
        <f t="shared" si="9"/>
        <v>0</v>
      </c>
      <c r="J123" s="261">
        <f>I123/G123*100</f>
        <v>0</v>
      </c>
      <c r="K123" s="261">
        <f>K124</f>
        <v>633</v>
      </c>
      <c r="L123" s="261">
        <f>L124</f>
        <v>190</v>
      </c>
      <c r="M123" s="261">
        <f>M124</f>
        <v>0</v>
      </c>
      <c r="N123" s="261">
        <f>M123/K123*100</f>
        <v>0</v>
      </c>
    </row>
    <row r="124" spans="1:14" s="74" customFormat="1" ht="66" customHeight="1" x14ac:dyDescent="0.25">
      <c r="A124" s="11" t="s">
        <v>188</v>
      </c>
      <c r="B124" s="11" t="s">
        <v>189</v>
      </c>
      <c r="C124" s="11" t="s">
        <v>190</v>
      </c>
      <c r="D124" s="43" t="s">
        <v>191</v>
      </c>
      <c r="E124" s="41"/>
      <c r="F124" s="43" t="s">
        <v>264</v>
      </c>
      <c r="G124" s="260"/>
      <c r="H124" s="260"/>
      <c r="I124" s="260"/>
      <c r="J124" s="260"/>
      <c r="K124" s="260">
        <v>633</v>
      </c>
      <c r="L124" s="260">
        <v>190</v>
      </c>
      <c r="M124" s="260">
        <v>0</v>
      </c>
      <c r="N124" s="260"/>
    </row>
    <row r="125" spans="1:14" s="74" customFormat="1" ht="66" customHeight="1" x14ac:dyDescent="0.25">
      <c r="A125" s="11"/>
      <c r="B125" s="11"/>
      <c r="C125" s="11"/>
      <c r="D125" s="43"/>
      <c r="E125" s="41"/>
      <c r="F125" s="43" t="s">
        <v>436</v>
      </c>
      <c r="G125" s="260">
        <v>600</v>
      </c>
      <c r="H125" s="260">
        <v>600</v>
      </c>
      <c r="I125" s="260">
        <v>0</v>
      </c>
      <c r="J125" s="260"/>
      <c r="K125" s="260"/>
      <c r="L125" s="260"/>
      <c r="M125" s="260"/>
      <c r="N125" s="260"/>
    </row>
    <row r="126" spans="1:14" s="74" customFormat="1" ht="23.25" customHeight="1" x14ac:dyDescent="0.25">
      <c r="A126" s="42">
        <v>4016060</v>
      </c>
      <c r="B126" s="42">
        <v>6060</v>
      </c>
      <c r="C126" s="42">
        <v>620</v>
      </c>
      <c r="D126" s="43" t="s">
        <v>192</v>
      </c>
      <c r="E126" s="41"/>
      <c r="F126" s="43"/>
      <c r="G126" s="298">
        <f>SUM(G127:G135)</f>
        <v>16784.399999999998</v>
      </c>
      <c r="H126" s="298">
        <f>SUM(H127:H135)</f>
        <v>11048.121999999999</v>
      </c>
      <c r="I126" s="298">
        <f>SUM(I127:I135)</f>
        <v>8867.7009999999991</v>
      </c>
      <c r="J126" s="261">
        <f>I126/G126*100</f>
        <v>52.832993732275213</v>
      </c>
      <c r="K126" s="261">
        <f>SUM(K127:K140)</f>
        <v>2444.8000000000002</v>
      </c>
      <c r="L126" s="261">
        <f>SUM(L127:L140)</f>
        <v>2328</v>
      </c>
      <c r="M126" s="261">
        <f>SUM(M127:M140)</f>
        <v>1825.771</v>
      </c>
      <c r="N126" s="261">
        <f>SUM(N127:N140)</f>
        <v>4.9533846309353224</v>
      </c>
    </row>
    <row r="127" spans="1:14" s="74" customFormat="1" ht="51" customHeight="1" x14ac:dyDescent="0.25">
      <c r="A127" s="42"/>
      <c r="B127" s="42"/>
      <c r="C127" s="42"/>
      <c r="D127" s="80" t="s">
        <v>178</v>
      </c>
      <c r="E127" s="41"/>
      <c r="F127" s="43" t="s">
        <v>275</v>
      </c>
      <c r="G127" s="260">
        <v>10402.9</v>
      </c>
      <c r="H127" s="260">
        <f>6549.3+7</f>
        <v>6556.3</v>
      </c>
      <c r="I127" s="260">
        <v>5666</v>
      </c>
      <c r="J127" s="260"/>
      <c r="K127" s="260"/>
      <c r="L127" s="260"/>
      <c r="M127" s="260"/>
      <c r="N127" s="260"/>
    </row>
    <row r="128" spans="1:14" s="74" customFormat="1" ht="54.75" customHeight="1" x14ac:dyDescent="0.25">
      <c r="A128" s="42"/>
      <c r="B128" s="42"/>
      <c r="C128" s="42"/>
      <c r="D128" s="80"/>
      <c r="E128" s="41"/>
      <c r="F128" s="43" t="s">
        <v>302</v>
      </c>
      <c r="G128" s="296">
        <v>2976.2</v>
      </c>
      <c r="H128" s="296">
        <v>2604.1999999999998</v>
      </c>
      <c r="I128" s="296">
        <v>1825.4</v>
      </c>
      <c r="J128" s="260"/>
      <c r="K128" s="260"/>
      <c r="L128" s="260"/>
      <c r="M128" s="260"/>
      <c r="N128" s="260"/>
    </row>
    <row r="129" spans="1:14" s="74" customFormat="1" ht="56.25" customHeight="1" x14ac:dyDescent="0.25">
      <c r="A129" s="42"/>
      <c r="B129" s="42"/>
      <c r="C129" s="42"/>
      <c r="D129" s="80"/>
      <c r="E129" s="41"/>
      <c r="F129" s="43" t="s">
        <v>266</v>
      </c>
      <c r="G129" s="260">
        <v>2800</v>
      </c>
      <c r="H129" s="260">
        <f>910.5+228.6+223.611+219.611</f>
        <v>1582.3219999999997</v>
      </c>
      <c r="I129" s="260">
        <v>1120.1010000000001</v>
      </c>
      <c r="J129" s="260"/>
      <c r="K129" s="260"/>
      <c r="L129" s="260"/>
      <c r="M129" s="260"/>
      <c r="N129" s="260"/>
    </row>
    <row r="130" spans="1:14" s="74" customFormat="1" ht="94.5" customHeight="1" x14ac:dyDescent="0.25">
      <c r="A130" s="42"/>
      <c r="B130" s="42"/>
      <c r="C130" s="42"/>
      <c r="D130" s="43"/>
      <c r="E130" s="41"/>
      <c r="F130" s="43" t="s">
        <v>257</v>
      </c>
      <c r="G130" s="260">
        <v>100</v>
      </c>
      <c r="H130" s="260">
        <v>0</v>
      </c>
      <c r="I130" s="260">
        <v>0</v>
      </c>
      <c r="J130" s="260"/>
      <c r="K130" s="260"/>
      <c r="L130" s="260"/>
      <c r="M130" s="260"/>
      <c r="N130" s="260"/>
    </row>
    <row r="131" spans="1:14" s="74" customFormat="1" ht="47.25" x14ac:dyDescent="0.25">
      <c r="A131" s="42"/>
      <c r="B131" s="42"/>
      <c r="C131" s="42"/>
      <c r="D131" s="43"/>
      <c r="E131" s="41"/>
      <c r="F131" s="43" t="s">
        <v>391</v>
      </c>
      <c r="G131" s="260">
        <v>300</v>
      </c>
      <c r="H131" s="260">
        <v>300</v>
      </c>
      <c r="I131" s="260">
        <v>250.9</v>
      </c>
      <c r="J131" s="260"/>
      <c r="K131" s="260"/>
      <c r="L131" s="260"/>
      <c r="M131" s="260"/>
      <c r="N131" s="260"/>
    </row>
    <row r="132" spans="1:14" s="74" customFormat="1" ht="31.5" x14ac:dyDescent="0.25">
      <c r="A132" s="42"/>
      <c r="B132" s="42"/>
      <c r="C132" s="42"/>
      <c r="D132" s="43"/>
      <c r="E132" s="41"/>
      <c r="F132" s="43" t="s">
        <v>441</v>
      </c>
      <c r="G132" s="260">
        <v>200</v>
      </c>
      <c r="H132" s="260">
        <v>0</v>
      </c>
      <c r="I132" s="260">
        <v>0</v>
      </c>
      <c r="J132" s="260"/>
      <c r="K132" s="260"/>
      <c r="L132" s="260"/>
      <c r="M132" s="260"/>
      <c r="N132" s="260"/>
    </row>
    <row r="133" spans="1:14" s="74" customFormat="1" ht="47.25" x14ac:dyDescent="0.25">
      <c r="A133" s="42"/>
      <c r="B133" s="42"/>
      <c r="C133" s="42"/>
      <c r="D133" s="43"/>
      <c r="E133" s="41"/>
      <c r="F133" s="43" t="s">
        <v>333</v>
      </c>
      <c r="G133" s="260">
        <v>5.3</v>
      </c>
      <c r="H133" s="260">
        <v>5.3</v>
      </c>
      <c r="I133" s="260">
        <v>5.3</v>
      </c>
      <c r="J133" s="260"/>
      <c r="K133" s="260"/>
      <c r="L133" s="260"/>
      <c r="M133" s="260"/>
      <c r="N133" s="260"/>
    </row>
    <row r="134" spans="1:14" s="74" customFormat="1" ht="51.75" customHeight="1" x14ac:dyDescent="0.25">
      <c r="A134" s="42"/>
      <c r="B134" s="42"/>
      <c r="C134" s="42"/>
      <c r="D134" s="43"/>
      <c r="E134" s="41"/>
      <c r="F134" s="43" t="s">
        <v>265</v>
      </c>
      <c r="G134" s="260"/>
      <c r="H134" s="260"/>
      <c r="I134" s="260"/>
      <c r="J134" s="260"/>
      <c r="K134" s="284">
        <v>329</v>
      </c>
      <c r="L134" s="273">
        <v>329</v>
      </c>
      <c r="M134" s="273">
        <v>322.2</v>
      </c>
      <c r="N134" s="273">
        <f>M134/K134</f>
        <v>0.97933130699088144</v>
      </c>
    </row>
    <row r="135" spans="1:14" s="74" customFormat="1" ht="84.75" customHeight="1" x14ac:dyDescent="0.25">
      <c r="A135" s="42"/>
      <c r="B135" s="42"/>
      <c r="C135" s="42"/>
      <c r="D135" s="43"/>
      <c r="E135" s="41"/>
      <c r="F135" s="43" t="s">
        <v>443</v>
      </c>
      <c r="G135" s="260"/>
      <c r="H135" s="260"/>
      <c r="I135" s="260"/>
      <c r="J135" s="260"/>
      <c r="K135" s="273">
        <f>1000+116.8</f>
        <v>1116.8</v>
      </c>
      <c r="L135" s="273">
        <f>100+300+300+300</f>
        <v>1000</v>
      </c>
      <c r="M135" s="273">
        <f>213.4+726.2</f>
        <v>939.6</v>
      </c>
      <c r="N135" s="273">
        <f t="shared" ref="N135:N140" si="10">M135/K135</f>
        <v>0.84133237822349571</v>
      </c>
    </row>
    <row r="136" spans="1:14" s="74" customFormat="1" ht="54.75" customHeight="1" x14ac:dyDescent="0.25">
      <c r="A136" s="42"/>
      <c r="B136" s="42"/>
      <c r="C136" s="42"/>
      <c r="D136" s="43"/>
      <c r="E136" s="41"/>
      <c r="F136" s="43" t="s">
        <v>334</v>
      </c>
      <c r="G136" s="260"/>
      <c r="H136" s="260"/>
      <c r="I136" s="260"/>
      <c r="J136" s="260"/>
      <c r="K136" s="273">
        <v>100</v>
      </c>
      <c r="L136" s="273">
        <v>100</v>
      </c>
      <c r="M136" s="273">
        <v>29.8</v>
      </c>
      <c r="N136" s="273">
        <f t="shared" si="10"/>
        <v>0.29799999999999999</v>
      </c>
    </row>
    <row r="137" spans="1:14" s="74" customFormat="1" ht="37.5" customHeight="1" x14ac:dyDescent="0.25">
      <c r="A137" s="42"/>
      <c r="B137" s="42"/>
      <c r="C137" s="42"/>
      <c r="D137" s="43"/>
      <c r="E137" s="41"/>
      <c r="F137" s="43" t="s">
        <v>442</v>
      </c>
      <c r="G137" s="260"/>
      <c r="H137" s="260"/>
      <c r="I137" s="260"/>
      <c r="J137" s="260"/>
      <c r="K137" s="273">
        <f>70</f>
        <v>70</v>
      </c>
      <c r="L137" s="273">
        <f>K137</f>
        <v>70</v>
      </c>
      <c r="M137" s="273">
        <v>63.5</v>
      </c>
      <c r="N137" s="273">
        <f t="shared" si="10"/>
        <v>0.90714285714285714</v>
      </c>
    </row>
    <row r="138" spans="1:14" s="74" customFormat="1" ht="25.5" customHeight="1" x14ac:dyDescent="0.25">
      <c r="A138" s="42"/>
      <c r="B138" s="42"/>
      <c r="C138" s="42"/>
      <c r="D138" s="43"/>
      <c r="E138" s="41"/>
      <c r="F138" s="43" t="s">
        <v>404</v>
      </c>
      <c r="G138" s="260"/>
      <c r="H138" s="260"/>
      <c r="I138" s="260"/>
      <c r="J138" s="260"/>
      <c r="K138" s="273">
        <v>50</v>
      </c>
      <c r="L138" s="273">
        <v>50</v>
      </c>
      <c r="M138" s="273">
        <v>47</v>
      </c>
      <c r="N138" s="273">
        <f t="shared" si="10"/>
        <v>0.94</v>
      </c>
    </row>
    <row r="139" spans="1:14" s="74" customFormat="1" ht="36.75" customHeight="1" x14ac:dyDescent="0.25">
      <c r="A139" s="42"/>
      <c r="B139" s="42"/>
      <c r="C139" s="42"/>
      <c r="D139" s="43"/>
      <c r="E139" s="41"/>
      <c r="F139" s="43" t="s">
        <v>405</v>
      </c>
      <c r="G139" s="260"/>
      <c r="H139" s="260"/>
      <c r="I139" s="260"/>
      <c r="J139" s="260"/>
      <c r="K139" s="273">
        <v>350</v>
      </c>
      <c r="L139" s="273">
        <v>350</v>
      </c>
      <c r="M139" s="273">
        <v>0</v>
      </c>
      <c r="N139" s="273">
        <f t="shared" si="10"/>
        <v>0</v>
      </c>
    </row>
    <row r="140" spans="1:14" s="74" customFormat="1" ht="36" customHeight="1" x14ac:dyDescent="0.25">
      <c r="A140" s="42"/>
      <c r="B140" s="42"/>
      <c r="C140" s="42"/>
      <c r="D140" s="43"/>
      <c r="E140" s="41"/>
      <c r="F140" s="43" t="s">
        <v>336</v>
      </c>
      <c r="G140" s="260"/>
      <c r="H140" s="260"/>
      <c r="I140" s="260"/>
      <c r="J140" s="260"/>
      <c r="K140" s="273">
        <v>429</v>
      </c>
      <c r="L140" s="273">
        <v>429</v>
      </c>
      <c r="M140" s="273">
        <v>423.67099999999999</v>
      </c>
      <c r="N140" s="273">
        <f t="shared" si="10"/>
        <v>0.9875780885780886</v>
      </c>
    </row>
    <row r="141" spans="1:14" s="74" customFormat="1" ht="41.25" customHeight="1" x14ac:dyDescent="0.25">
      <c r="A141" s="42">
        <v>4017420</v>
      </c>
      <c r="B141" s="42">
        <v>7420</v>
      </c>
      <c r="C141" s="42">
        <v>490</v>
      </c>
      <c r="D141" s="43" t="s">
        <v>194</v>
      </c>
      <c r="E141" s="41"/>
      <c r="F141" s="43"/>
      <c r="G141" s="283">
        <f>SUM(G142:G147)</f>
        <v>202.7</v>
      </c>
      <c r="H141" s="283">
        <f>SUM(H142:H147)</f>
        <v>98.1</v>
      </c>
      <c r="I141" s="283">
        <f>SUM(I142:I147)</f>
        <v>92.05</v>
      </c>
      <c r="J141" s="260">
        <f>I141/G141*100</f>
        <v>45.41193882585101</v>
      </c>
      <c r="K141" s="260">
        <f>SUM(K142:K147)</f>
        <v>192</v>
      </c>
      <c r="L141" s="260">
        <f>SUM(L142:L147)</f>
        <v>42</v>
      </c>
      <c r="M141" s="260">
        <f>SUM(M142:M147)</f>
        <v>42</v>
      </c>
      <c r="N141" s="260">
        <f>M141/K141*100</f>
        <v>21.875</v>
      </c>
    </row>
    <row r="142" spans="1:14" s="74" customFormat="1" ht="102" customHeight="1" x14ac:dyDescent="0.25">
      <c r="A142" s="42"/>
      <c r="B142" s="42"/>
      <c r="C142" s="42"/>
      <c r="D142" s="80" t="s">
        <v>178</v>
      </c>
      <c r="E142" s="41"/>
      <c r="F142" s="43" t="s">
        <v>384</v>
      </c>
      <c r="G142" s="260">
        <v>104.6</v>
      </c>
      <c r="H142" s="260">
        <v>0</v>
      </c>
      <c r="I142" s="260">
        <v>0</v>
      </c>
      <c r="J142" s="260"/>
      <c r="K142" s="260"/>
      <c r="L142" s="260"/>
      <c r="M142" s="260"/>
      <c r="N142" s="260"/>
    </row>
    <row r="143" spans="1:14" s="74" customFormat="1" ht="62.25" customHeight="1" x14ac:dyDescent="0.25">
      <c r="A143" s="42"/>
      <c r="B143" s="42"/>
      <c r="C143" s="42"/>
      <c r="D143" s="80"/>
      <c r="E143" s="41"/>
      <c r="F143" s="43" t="s">
        <v>372</v>
      </c>
      <c r="G143" s="260">
        <v>34.6</v>
      </c>
      <c r="H143" s="260">
        <f>29.2+5.4</f>
        <v>34.6</v>
      </c>
      <c r="I143" s="260">
        <v>29.18</v>
      </c>
      <c r="J143" s="260"/>
      <c r="K143" s="260"/>
      <c r="L143" s="260"/>
      <c r="M143" s="260"/>
      <c r="N143" s="260"/>
    </row>
    <row r="144" spans="1:14" s="74" customFormat="1" ht="69.75" customHeight="1" x14ac:dyDescent="0.25">
      <c r="A144" s="42"/>
      <c r="B144" s="42"/>
      <c r="C144" s="42"/>
      <c r="D144" s="80"/>
      <c r="E144" s="41"/>
      <c r="F144" s="43" t="s">
        <v>461</v>
      </c>
      <c r="G144" s="260">
        <v>12.5</v>
      </c>
      <c r="H144" s="260">
        <v>12.5</v>
      </c>
      <c r="I144" s="260">
        <v>12.47</v>
      </c>
      <c r="J144" s="260"/>
      <c r="K144" s="260"/>
      <c r="L144" s="260"/>
      <c r="M144" s="260"/>
      <c r="N144" s="260"/>
    </row>
    <row r="145" spans="1:14" s="74" customFormat="1" ht="42" customHeight="1" x14ac:dyDescent="0.25">
      <c r="A145" s="42"/>
      <c r="B145" s="42"/>
      <c r="C145" s="42"/>
      <c r="D145" s="80"/>
      <c r="E145" s="41"/>
      <c r="F145" s="43" t="s">
        <v>401</v>
      </c>
      <c r="G145" s="260">
        <v>51</v>
      </c>
      <c r="H145" s="260">
        <v>51</v>
      </c>
      <c r="I145" s="260">
        <v>50.4</v>
      </c>
      <c r="J145" s="260"/>
      <c r="K145" s="260"/>
      <c r="L145" s="260"/>
      <c r="M145" s="260"/>
      <c r="N145" s="260"/>
    </row>
    <row r="146" spans="1:14" s="74" customFormat="1" ht="52.5" customHeight="1" x14ac:dyDescent="0.25">
      <c r="A146" s="42"/>
      <c r="B146" s="42"/>
      <c r="C146" s="42"/>
      <c r="D146" s="43"/>
      <c r="E146" s="41"/>
      <c r="F146" s="43" t="s">
        <v>338</v>
      </c>
      <c r="G146" s="260"/>
      <c r="H146" s="260"/>
      <c r="I146" s="260"/>
      <c r="J146" s="260"/>
      <c r="K146" s="260">
        <v>42</v>
      </c>
      <c r="L146" s="260">
        <v>42</v>
      </c>
      <c r="M146" s="260">
        <v>42</v>
      </c>
      <c r="N146" s="260"/>
    </row>
    <row r="147" spans="1:14" s="74" customFormat="1" ht="55.5" customHeight="1" x14ac:dyDescent="0.25">
      <c r="A147" s="42"/>
      <c r="B147" s="42"/>
      <c r="C147" s="42"/>
      <c r="D147" s="43"/>
      <c r="E147" s="41"/>
      <c r="F147" s="43" t="s">
        <v>337</v>
      </c>
      <c r="G147" s="260"/>
      <c r="H147" s="260"/>
      <c r="I147" s="260"/>
      <c r="J147" s="260"/>
      <c r="K147" s="260">
        <v>150</v>
      </c>
      <c r="L147" s="260">
        <v>0</v>
      </c>
      <c r="M147" s="260">
        <v>0</v>
      </c>
      <c r="N147" s="260"/>
    </row>
    <row r="148" spans="1:14" s="74" customFormat="1" ht="86.25" customHeight="1" x14ac:dyDescent="0.25">
      <c r="A148" s="42">
        <v>4019181</v>
      </c>
      <c r="B148" s="24" t="s">
        <v>313</v>
      </c>
      <c r="C148" s="24" t="s">
        <v>30</v>
      </c>
      <c r="D148" s="43" t="s">
        <v>314</v>
      </c>
      <c r="E148" s="41"/>
      <c r="F148" s="88" t="s">
        <v>315</v>
      </c>
      <c r="G148" s="260"/>
      <c r="H148" s="260"/>
      <c r="I148" s="260"/>
      <c r="J148" s="260"/>
      <c r="K148" s="260">
        <v>127.292</v>
      </c>
      <c r="L148" s="260">
        <v>127.292</v>
      </c>
      <c r="M148" s="260">
        <v>127.292</v>
      </c>
      <c r="N148" s="260"/>
    </row>
    <row r="149" spans="1:14" s="10" customFormat="1" ht="70.5" customHeight="1" x14ac:dyDescent="0.25">
      <c r="A149" s="24"/>
      <c r="B149" s="77"/>
      <c r="C149" s="77"/>
      <c r="D149" s="81"/>
      <c r="E149" s="44"/>
      <c r="F149" s="215" t="s">
        <v>195</v>
      </c>
      <c r="G149" s="270">
        <f>G151</f>
        <v>0</v>
      </c>
      <c r="H149" s="270"/>
      <c r="I149" s="270"/>
      <c r="J149" s="270"/>
      <c r="K149" s="270">
        <f>K150+K151+K153+K154+K159+K162+K156+K152</f>
        <v>25872</v>
      </c>
      <c r="L149" s="270">
        <f>L150+L151+L153+L154+L159+L162+L156+L152</f>
        <v>16574.599999999999</v>
      </c>
      <c r="M149" s="270">
        <f>M150+M151+M153+M154+M159+M162+M156+M152</f>
        <v>5371.2363999999998</v>
      </c>
      <c r="N149" s="270">
        <f>N150+N151+N153+N154+N159+N162+N155+N157+N158</f>
        <v>0</v>
      </c>
    </row>
    <row r="150" spans="1:14" s="71" customFormat="1" ht="84" customHeight="1" x14ac:dyDescent="0.25">
      <c r="A150" s="11" t="s">
        <v>316</v>
      </c>
      <c r="B150" s="11" t="s">
        <v>317</v>
      </c>
      <c r="C150" s="21" t="s">
        <v>190</v>
      </c>
      <c r="D150" s="156" t="s">
        <v>318</v>
      </c>
      <c r="E150" s="44"/>
      <c r="F150" s="43" t="s">
        <v>319</v>
      </c>
      <c r="G150" s="261"/>
      <c r="H150" s="261"/>
      <c r="I150" s="261"/>
      <c r="J150" s="261"/>
      <c r="K150" s="260">
        <v>100</v>
      </c>
      <c r="L150" s="260">
        <v>100</v>
      </c>
      <c r="M150" s="260">
        <v>0</v>
      </c>
      <c r="N150" s="261"/>
    </row>
    <row r="151" spans="1:14" s="71" customFormat="1" ht="39.75" customHeight="1" x14ac:dyDescent="0.25">
      <c r="A151" s="11" t="s">
        <v>196</v>
      </c>
      <c r="B151" s="11" t="s">
        <v>36</v>
      </c>
      <c r="C151" s="24" t="s">
        <v>37</v>
      </c>
      <c r="D151" s="67" t="s">
        <v>197</v>
      </c>
      <c r="E151" s="67" t="s">
        <v>197</v>
      </c>
      <c r="F151" s="67" t="s">
        <v>260</v>
      </c>
      <c r="G151" s="260"/>
      <c r="H151" s="260"/>
      <c r="I151" s="260"/>
      <c r="J151" s="260"/>
      <c r="K151" s="260">
        <v>15331.6</v>
      </c>
      <c r="L151" s="260">
        <v>8350.1</v>
      </c>
      <c r="M151" s="260">
        <v>4663.8999999999996</v>
      </c>
      <c r="N151" s="260"/>
    </row>
    <row r="152" spans="1:14" s="71" customFormat="1" ht="72.75" customHeight="1" x14ac:dyDescent="0.25">
      <c r="A152" s="11" t="s">
        <v>363</v>
      </c>
      <c r="B152" s="11" t="s">
        <v>364</v>
      </c>
      <c r="C152" s="24" t="s">
        <v>211</v>
      </c>
      <c r="D152" s="67" t="s">
        <v>362</v>
      </c>
      <c r="E152" s="67"/>
      <c r="F152" s="67" t="s">
        <v>445</v>
      </c>
      <c r="G152" s="260"/>
      <c r="H152" s="260"/>
      <c r="I152" s="260"/>
      <c r="J152" s="260"/>
      <c r="K152" s="260">
        <v>395</v>
      </c>
      <c r="L152" s="260">
        <v>395</v>
      </c>
      <c r="M152" s="260">
        <v>98.0364</v>
      </c>
      <c r="N152" s="260"/>
    </row>
    <row r="153" spans="1:14" s="10" customFormat="1" ht="51" customHeight="1" x14ac:dyDescent="0.25">
      <c r="A153" s="82" t="s">
        <v>198</v>
      </c>
      <c r="B153" s="82" t="s">
        <v>199</v>
      </c>
      <c r="C153" s="82" t="s">
        <v>190</v>
      </c>
      <c r="D153" s="67" t="s">
        <v>192</v>
      </c>
      <c r="E153" s="44"/>
      <c r="F153" s="45" t="s">
        <v>261</v>
      </c>
      <c r="G153" s="260">
        <v>0</v>
      </c>
      <c r="H153" s="260"/>
      <c r="I153" s="260"/>
      <c r="J153" s="260"/>
      <c r="K153" s="260">
        <v>37.9</v>
      </c>
      <c r="L153" s="260">
        <v>37.9</v>
      </c>
      <c r="M153" s="260">
        <v>25.1</v>
      </c>
      <c r="N153" s="260"/>
    </row>
    <row r="154" spans="1:14" s="10" customFormat="1" ht="36" customHeight="1" x14ac:dyDescent="0.25">
      <c r="A154" s="82" t="s">
        <v>181</v>
      </c>
      <c r="B154" s="82" t="s">
        <v>182</v>
      </c>
      <c r="C154" s="82" t="s">
        <v>200</v>
      </c>
      <c r="D154" s="67" t="s">
        <v>183</v>
      </c>
      <c r="E154" s="67" t="s">
        <v>183</v>
      </c>
      <c r="F154" s="45"/>
      <c r="G154" s="260">
        <f>G155</f>
        <v>0</v>
      </c>
      <c r="H154" s="260"/>
      <c r="I154" s="260"/>
      <c r="J154" s="260"/>
      <c r="K154" s="260">
        <f>K155</f>
        <v>20</v>
      </c>
      <c r="L154" s="260">
        <f>L155</f>
        <v>10</v>
      </c>
      <c r="M154" s="260">
        <f>M155</f>
        <v>6.7</v>
      </c>
      <c r="N154" s="260"/>
    </row>
    <row r="155" spans="1:14" s="71" customFormat="1" ht="37.5" customHeight="1" x14ac:dyDescent="0.25">
      <c r="A155" s="83" t="s">
        <v>201</v>
      </c>
      <c r="B155" s="83" t="s">
        <v>202</v>
      </c>
      <c r="C155" s="83" t="s">
        <v>203</v>
      </c>
      <c r="D155" s="84" t="s">
        <v>184</v>
      </c>
      <c r="E155" s="44"/>
      <c r="F155" s="45" t="s">
        <v>262</v>
      </c>
      <c r="G155" s="260"/>
      <c r="H155" s="260"/>
      <c r="I155" s="260"/>
      <c r="J155" s="260"/>
      <c r="K155" s="260">
        <v>20</v>
      </c>
      <c r="L155" s="260">
        <v>10</v>
      </c>
      <c r="M155" s="260">
        <v>6.7</v>
      </c>
      <c r="N155" s="260"/>
    </row>
    <row r="156" spans="1:14" s="232" customFormat="1" ht="48" customHeight="1" x14ac:dyDescent="0.25">
      <c r="A156" s="230" t="s">
        <v>216</v>
      </c>
      <c r="B156" s="230" t="s">
        <v>217</v>
      </c>
      <c r="C156" s="230" t="s">
        <v>37</v>
      </c>
      <c r="D156" s="211" t="s">
        <v>194</v>
      </c>
      <c r="E156" s="214"/>
      <c r="F156" s="215" t="s">
        <v>346</v>
      </c>
      <c r="G156" s="271"/>
      <c r="H156" s="271"/>
      <c r="I156" s="271"/>
      <c r="J156" s="271"/>
      <c r="K156" s="271">
        <f>K157+K158</f>
        <v>825</v>
      </c>
      <c r="L156" s="271">
        <f>L157+L158</f>
        <v>825</v>
      </c>
      <c r="M156" s="271">
        <f>M157+M158</f>
        <v>417.6</v>
      </c>
      <c r="N156" s="271">
        <f>M156/K156*100</f>
        <v>50.618181818181817</v>
      </c>
    </row>
    <row r="157" spans="1:14" s="71" customFormat="1" ht="66" customHeight="1" x14ac:dyDescent="0.25">
      <c r="A157" s="83"/>
      <c r="B157" s="83"/>
      <c r="C157" s="83"/>
      <c r="D157" s="229"/>
      <c r="E157" s="44"/>
      <c r="F157" s="45" t="s">
        <v>427</v>
      </c>
      <c r="G157" s="260"/>
      <c r="H157" s="260"/>
      <c r="I157" s="260"/>
      <c r="J157" s="260"/>
      <c r="K157" s="260">
        <v>325</v>
      </c>
      <c r="L157" s="260">
        <v>325</v>
      </c>
      <c r="M157" s="260">
        <v>288.10000000000002</v>
      </c>
      <c r="N157" s="260"/>
    </row>
    <row r="158" spans="1:14" s="71" customFormat="1" ht="53.25" customHeight="1" x14ac:dyDescent="0.25">
      <c r="A158" s="83"/>
      <c r="B158" s="83"/>
      <c r="C158" s="83"/>
      <c r="D158" s="229"/>
      <c r="E158" s="44"/>
      <c r="F158" s="45" t="s">
        <v>340</v>
      </c>
      <c r="G158" s="260"/>
      <c r="H158" s="260"/>
      <c r="I158" s="260"/>
      <c r="J158" s="260"/>
      <c r="K158" s="260">
        <v>500</v>
      </c>
      <c r="L158" s="260">
        <v>500</v>
      </c>
      <c r="M158" s="260">
        <v>129.5</v>
      </c>
      <c r="N158" s="260"/>
    </row>
    <row r="159" spans="1:14" s="10" customFormat="1" ht="29.25" customHeight="1" x14ac:dyDescent="0.25">
      <c r="A159" s="82" t="s">
        <v>204</v>
      </c>
      <c r="B159" s="82" t="s">
        <v>128</v>
      </c>
      <c r="C159" s="82" t="s">
        <v>205</v>
      </c>
      <c r="D159" s="213" t="s">
        <v>206</v>
      </c>
      <c r="E159" s="214"/>
      <c r="F159" s="215"/>
      <c r="G159" s="271">
        <f>SUM(G160:G161)</f>
        <v>0</v>
      </c>
      <c r="H159" s="271"/>
      <c r="I159" s="271"/>
      <c r="J159" s="271"/>
      <c r="K159" s="271">
        <f>SUM(K160:K161)</f>
        <v>1936.3999999999999</v>
      </c>
      <c r="L159" s="271">
        <f>SUM(L160:L161)</f>
        <v>128.30000000000001</v>
      </c>
      <c r="M159" s="271">
        <f>SUM(M160:M161)</f>
        <v>98</v>
      </c>
      <c r="N159" s="271"/>
    </row>
    <row r="160" spans="1:14" s="71" customFormat="1" ht="105.75" customHeight="1" x14ac:dyDescent="0.25">
      <c r="A160" s="83"/>
      <c r="B160" s="83"/>
      <c r="C160" s="83"/>
      <c r="D160" s="81" t="s">
        <v>178</v>
      </c>
      <c r="E160" s="67" t="s">
        <v>207</v>
      </c>
      <c r="F160" s="67" t="s">
        <v>440</v>
      </c>
      <c r="G160" s="260"/>
      <c r="H160" s="260"/>
      <c r="I160" s="260"/>
      <c r="J160" s="260"/>
      <c r="K160" s="273">
        <v>1908.1</v>
      </c>
      <c r="L160" s="273">
        <v>100</v>
      </c>
      <c r="M160" s="273">
        <v>98</v>
      </c>
      <c r="N160" s="273"/>
    </row>
    <row r="161" spans="1:14" s="71" customFormat="1" ht="69" customHeight="1" x14ac:dyDescent="0.25">
      <c r="A161" s="83"/>
      <c r="B161" s="83"/>
      <c r="C161" s="83"/>
      <c r="D161" s="81"/>
      <c r="E161" s="67" t="s">
        <v>208</v>
      </c>
      <c r="F161" s="67" t="s">
        <v>439</v>
      </c>
      <c r="G161" s="260"/>
      <c r="H161" s="260"/>
      <c r="I161" s="260"/>
      <c r="J161" s="260"/>
      <c r="K161" s="273">
        <v>28.3</v>
      </c>
      <c r="L161" s="273">
        <v>28.3</v>
      </c>
      <c r="M161" s="273">
        <v>0</v>
      </c>
      <c r="N161" s="273"/>
    </row>
    <row r="162" spans="1:14" s="10" customFormat="1" ht="100.5" customHeight="1" x14ac:dyDescent="0.25">
      <c r="A162" s="82" t="s">
        <v>209</v>
      </c>
      <c r="B162" s="82" t="s">
        <v>210</v>
      </c>
      <c r="C162" s="82" t="s">
        <v>211</v>
      </c>
      <c r="D162" s="67" t="s">
        <v>212</v>
      </c>
      <c r="E162" s="67"/>
      <c r="F162" s="211"/>
      <c r="G162" s="271">
        <f>SUM(G163:G166)</f>
        <v>0</v>
      </c>
      <c r="H162" s="271"/>
      <c r="I162" s="271"/>
      <c r="J162" s="271"/>
      <c r="K162" s="271">
        <f>SUM(K163:K166)</f>
        <v>7226.1</v>
      </c>
      <c r="L162" s="271">
        <f>SUM(L163:L166)</f>
        <v>6728.3</v>
      </c>
      <c r="M162" s="271">
        <f>SUM(M163:M166)</f>
        <v>61.9</v>
      </c>
      <c r="N162" s="271"/>
    </row>
    <row r="163" spans="1:14" s="71" customFormat="1" ht="93" customHeight="1" x14ac:dyDescent="0.25">
      <c r="A163" s="83"/>
      <c r="B163" s="83"/>
      <c r="C163" s="83"/>
      <c r="D163" s="81" t="s">
        <v>178</v>
      </c>
      <c r="E163" s="67" t="s">
        <v>213</v>
      </c>
      <c r="F163" s="67" t="s">
        <v>379</v>
      </c>
      <c r="G163" s="260"/>
      <c r="H163" s="260"/>
      <c r="I163" s="260"/>
      <c r="J163" s="260"/>
      <c r="K163" s="273">
        <v>3230.2</v>
      </c>
      <c r="L163" s="273">
        <v>3230.2</v>
      </c>
      <c r="M163" s="273">
        <v>23</v>
      </c>
      <c r="N163" s="273"/>
    </row>
    <row r="164" spans="1:14" s="71" customFormat="1" ht="104.25" customHeight="1" x14ac:dyDescent="0.25">
      <c r="A164" s="83"/>
      <c r="B164" s="83"/>
      <c r="C164" s="83"/>
      <c r="D164" s="81"/>
      <c r="E164" s="67"/>
      <c r="F164" s="67" t="s">
        <v>380</v>
      </c>
      <c r="G164" s="260"/>
      <c r="H164" s="260"/>
      <c r="I164" s="260"/>
      <c r="J164" s="260"/>
      <c r="K164" s="273">
        <v>3469.8</v>
      </c>
      <c r="L164" s="273">
        <v>3457.8</v>
      </c>
      <c r="M164" s="273">
        <v>26.9</v>
      </c>
      <c r="N164" s="273"/>
    </row>
    <row r="165" spans="1:14" s="71" customFormat="1" ht="84" customHeight="1" x14ac:dyDescent="0.25">
      <c r="A165" s="83"/>
      <c r="B165" s="83"/>
      <c r="C165" s="83"/>
      <c r="D165" s="81"/>
      <c r="E165" s="67"/>
      <c r="F165" s="67" t="s">
        <v>431</v>
      </c>
      <c r="G165" s="260"/>
      <c r="H165" s="260"/>
      <c r="I165" s="260"/>
      <c r="J165" s="260"/>
      <c r="K165" s="273">
        <v>497.8</v>
      </c>
      <c r="L165" s="300">
        <v>12</v>
      </c>
      <c r="M165" s="300">
        <v>12</v>
      </c>
      <c r="N165" s="273"/>
    </row>
    <row r="166" spans="1:14" s="71" customFormat="1" ht="68.25" customHeight="1" x14ac:dyDescent="0.25">
      <c r="A166" s="83"/>
      <c r="B166" s="83"/>
      <c r="C166" s="83"/>
      <c r="D166" s="67"/>
      <c r="E166" s="67" t="s">
        <v>214</v>
      </c>
      <c r="F166" s="67" t="s">
        <v>438</v>
      </c>
      <c r="G166" s="260"/>
      <c r="H166" s="260"/>
      <c r="I166" s="260"/>
      <c r="J166" s="260"/>
      <c r="K166" s="273">
        <v>28.3</v>
      </c>
      <c r="L166" s="273">
        <v>28.3</v>
      </c>
      <c r="M166" s="273">
        <v>0</v>
      </c>
      <c r="N166" s="273"/>
    </row>
    <row r="167" spans="1:14" s="65" customFormat="1" ht="65.25" customHeight="1" x14ac:dyDescent="0.25">
      <c r="A167" s="21"/>
      <c r="B167" s="42"/>
      <c r="C167" s="42"/>
      <c r="D167" s="43"/>
      <c r="E167" s="43"/>
      <c r="F167" s="215" t="s">
        <v>215</v>
      </c>
      <c r="G167" s="270">
        <f>G168</f>
        <v>5064.9279999999999</v>
      </c>
      <c r="H167" s="270">
        <f>H168</f>
        <v>3008.2980000000002</v>
      </c>
      <c r="I167" s="270">
        <f>I168</f>
        <v>2970.99</v>
      </c>
      <c r="J167" s="270">
        <f>I167/G167*100</f>
        <v>58.658089512822286</v>
      </c>
      <c r="K167" s="270"/>
      <c r="L167" s="270"/>
      <c r="M167" s="270"/>
      <c r="N167" s="270"/>
    </row>
    <row r="168" spans="1:14" s="10" customFormat="1" ht="34.5" customHeight="1" x14ac:dyDescent="0.25">
      <c r="A168" s="11" t="s">
        <v>216</v>
      </c>
      <c r="B168" s="11" t="s">
        <v>217</v>
      </c>
      <c r="C168" s="42">
        <v>490</v>
      </c>
      <c r="D168" s="43" t="s">
        <v>194</v>
      </c>
      <c r="E168" s="44"/>
      <c r="F168" s="63"/>
      <c r="G168" s="283">
        <f>SUM(G169:G174)</f>
        <v>5064.9279999999999</v>
      </c>
      <c r="H168" s="283">
        <f>SUM(H169:H174)</f>
        <v>3008.2980000000002</v>
      </c>
      <c r="I168" s="283">
        <f>SUM(I169:I174)</f>
        <v>2970.99</v>
      </c>
      <c r="J168" s="260"/>
      <c r="K168" s="260">
        <f>SUM(K169:K170)</f>
        <v>0</v>
      </c>
      <c r="L168" s="260"/>
      <c r="M168" s="260"/>
      <c r="N168" s="260"/>
    </row>
    <row r="169" spans="1:14" s="10" customFormat="1" ht="97.5" customHeight="1" x14ac:dyDescent="0.25">
      <c r="A169" s="11"/>
      <c r="B169" s="11"/>
      <c r="C169" s="42"/>
      <c r="D169" s="80" t="s">
        <v>178</v>
      </c>
      <c r="E169" s="44"/>
      <c r="F169" s="45" t="s">
        <v>366</v>
      </c>
      <c r="G169" s="260">
        <v>78.2</v>
      </c>
      <c r="H169" s="260">
        <v>39.799999999999997</v>
      </c>
      <c r="I169" s="260">
        <v>17.7</v>
      </c>
      <c r="J169" s="260"/>
      <c r="K169" s="260"/>
      <c r="L169" s="260"/>
      <c r="M169" s="260"/>
      <c r="N169" s="260"/>
    </row>
    <row r="170" spans="1:14" s="10" customFormat="1" ht="102" customHeight="1" x14ac:dyDescent="0.25">
      <c r="A170" s="11"/>
      <c r="B170" s="11"/>
      <c r="C170" s="42"/>
      <c r="D170" s="43"/>
      <c r="E170" s="44"/>
      <c r="F170" s="16" t="s">
        <v>276</v>
      </c>
      <c r="G170" s="260">
        <v>2420</v>
      </c>
      <c r="H170" s="260">
        <v>2420</v>
      </c>
      <c r="I170" s="260">
        <v>2420</v>
      </c>
      <c r="J170" s="260"/>
      <c r="K170" s="260"/>
      <c r="L170" s="260"/>
      <c r="M170" s="260"/>
      <c r="N170" s="260"/>
    </row>
    <row r="171" spans="1:14" s="10" customFormat="1" ht="108.75" customHeight="1" x14ac:dyDescent="0.25">
      <c r="A171" s="11"/>
      <c r="B171" s="11"/>
      <c r="C171" s="42"/>
      <c r="D171" s="43"/>
      <c r="E171" s="44"/>
      <c r="F171" s="16" t="s">
        <v>462</v>
      </c>
      <c r="G171" s="260">
        <f>251.2+1748.83</f>
        <v>2000.03</v>
      </c>
      <c r="H171" s="260">
        <v>0</v>
      </c>
      <c r="I171" s="260">
        <v>0</v>
      </c>
      <c r="J171" s="260"/>
      <c r="K171" s="260"/>
      <c r="L171" s="260"/>
      <c r="M171" s="260"/>
      <c r="N171" s="260"/>
    </row>
    <row r="172" spans="1:14" s="10" customFormat="1" ht="87" customHeight="1" x14ac:dyDescent="0.25">
      <c r="A172" s="11"/>
      <c r="B172" s="11"/>
      <c r="C172" s="42"/>
      <c r="D172" s="43"/>
      <c r="E172" s="44"/>
      <c r="F172" s="16" t="s">
        <v>386</v>
      </c>
      <c r="G172" s="260">
        <v>195</v>
      </c>
      <c r="H172" s="260">
        <v>195</v>
      </c>
      <c r="I172" s="260">
        <v>195</v>
      </c>
      <c r="J172" s="260"/>
      <c r="K172" s="260"/>
      <c r="L172" s="260"/>
      <c r="M172" s="260"/>
      <c r="N172" s="260"/>
    </row>
    <row r="173" spans="1:14" s="10" customFormat="1" ht="121.5" customHeight="1" x14ac:dyDescent="0.25">
      <c r="A173" s="11"/>
      <c r="B173" s="11"/>
      <c r="C173" s="42"/>
      <c r="D173" s="43"/>
      <c r="E173" s="44"/>
      <c r="F173" s="16" t="s">
        <v>343</v>
      </c>
      <c r="G173" s="260">
        <v>195</v>
      </c>
      <c r="H173" s="260">
        <v>195</v>
      </c>
      <c r="I173" s="260">
        <v>189.5</v>
      </c>
      <c r="J173" s="260"/>
      <c r="K173" s="260"/>
      <c r="L173" s="260"/>
      <c r="M173" s="260"/>
      <c r="N173" s="260"/>
    </row>
    <row r="174" spans="1:14" s="10" customFormat="1" ht="86.25" customHeight="1" x14ac:dyDescent="0.25">
      <c r="A174" s="11"/>
      <c r="B174" s="11"/>
      <c r="C174" s="42"/>
      <c r="D174" s="43"/>
      <c r="E174" s="44"/>
      <c r="F174" s="16" t="s">
        <v>419</v>
      </c>
      <c r="G174" s="260">
        <f>150+26.698</f>
        <v>176.69800000000001</v>
      </c>
      <c r="H174" s="260">
        <v>158.49799999999999</v>
      </c>
      <c r="I174" s="260">
        <v>148.79</v>
      </c>
      <c r="J174" s="260"/>
      <c r="K174" s="260"/>
      <c r="L174" s="260"/>
      <c r="M174" s="260"/>
      <c r="N174" s="260"/>
    </row>
    <row r="175" spans="1:14" s="242" customFormat="1" ht="55.5" customHeight="1" x14ac:dyDescent="0.25">
      <c r="A175" s="239"/>
      <c r="B175" s="240"/>
      <c r="C175" s="240"/>
      <c r="D175" s="211"/>
      <c r="E175" s="211"/>
      <c r="F175" s="210" t="s">
        <v>218</v>
      </c>
      <c r="G175" s="270">
        <f>G176+G177</f>
        <v>240</v>
      </c>
      <c r="H175" s="270">
        <f t="shared" ref="H175:I175" si="11">H176+H177</f>
        <v>240</v>
      </c>
      <c r="I175" s="270">
        <f t="shared" si="11"/>
        <v>227.5</v>
      </c>
      <c r="J175" s="270">
        <f>I175/G175*100</f>
        <v>94.791666666666657</v>
      </c>
      <c r="K175" s="270">
        <f>K176+K177</f>
        <v>435</v>
      </c>
      <c r="L175" s="270">
        <f>L176+L177</f>
        <v>435</v>
      </c>
      <c r="M175" s="270">
        <f>M176+M177</f>
        <v>0</v>
      </c>
      <c r="N175" s="270">
        <f>M175/K175*100</f>
        <v>0</v>
      </c>
    </row>
    <row r="176" spans="1:14" s="65" customFormat="1" ht="50.25" customHeight="1" x14ac:dyDescent="0.25">
      <c r="A176" s="11" t="s">
        <v>188</v>
      </c>
      <c r="B176" s="11" t="s">
        <v>189</v>
      </c>
      <c r="C176" s="11" t="s">
        <v>190</v>
      </c>
      <c r="D176" s="43" t="s">
        <v>191</v>
      </c>
      <c r="E176" s="67"/>
      <c r="F176" s="43" t="s">
        <v>320</v>
      </c>
      <c r="G176" s="261"/>
      <c r="H176" s="261"/>
      <c r="I176" s="261"/>
      <c r="J176" s="261"/>
      <c r="K176" s="260">
        <v>435</v>
      </c>
      <c r="L176" s="260">
        <v>435</v>
      </c>
      <c r="M176" s="260">
        <v>0</v>
      </c>
      <c r="N176" s="261"/>
    </row>
    <row r="177" spans="1:14" s="65" customFormat="1" ht="78" customHeight="1" x14ac:dyDescent="0.25">
      <c r="A177" s="42">
        <v>4016060</v>
      </c>
      <c r="B177" s="21" t="s">
        <v>199</v>
      </c>
      <c r="C177" s="21" t="s">
        <v>190</v>
      </c>
      <c r="D177" s="67" t="s">
        <v>192</v>
      </c>
      <c r="E177" s="43"/>
      <c r="F177" s="16" t="s">
        <v>219</v>
      </c>
      <c r="G177" s="281">
        <v>240</v>
      </c>
      <c r="H177" s="278">
        <f>211.7+28.3</f>
        <v>240</v>
      </c>
      <c r="I177" s="260">
        <f>211.6+15.9</f>
        <v>227.5</v>
      </c>
      <c r="J177" s="260"/>
      <c r="K177" s="260"/>
      <c r="L177" s="260"/>
      <c r="M177" s="260"/>
      <c r="N177" s="260"/>
    </row>
    <row r="178" spans="1:14" s="242" customFormat="1" ht="58.5" customHeight="1" x14ac:dyDescent="0.25">
      <c r="A178" s="243"/>
      <c r="B178" s="243"/>
      <c r="C178" s="243"/>
      <c r="D178" s="244"/>
      <c r="E178" s="210"/>
      <c r="F178" s="215" t="s">
        <v>277</v>
      </c>
      <c r="G178" s="270">
        <f>G179</f>
        <v>9</v>
      </c>
      <c r="H178" s="270">
        <f t="shared" ref="H178:I178" si="12">H179</f>
        <v>9</v>
      </c>
      <c r="I178" s="270">
        <f t="shared" si="12"/>
        <v>1.8149999999999999</v>
      </c>
      <c r="J178" s="270"/>
      <c r="K178" s="270"/>
      <c r="L178" s="270"/>
      <c r="M178" s="270"/>
      <c r="N178" s="270"/>
    </row>
    <row r="179" spans="1:14" s="65" customFormat="1" ht="42.75" customHeight="1" x14ac:dyDescent="0.25">
      <c r="A179" s="11" t="s">
        <v>216</v>
      </c>
      <c r="B179" s="11" t="s">
        <v>217</v>
      </c>
      <c r="C179" s="11" t="s">
        <v>37</v>
      </c>
      <c r="D179" s="85" t="s">
        <v>220</v>
      </c>
      <c r="E179" s="43"/>
      <c r="F179" s="43" t="s">
        <v>221</v>
      </c>
      <c r="G179" s="260">
        <v>9</v>
      </c>
      <c r="H179" s="260">
        <v>9</v>
      </c>
      <c r="I179" s="260">
        <v>1.8149999999999999</v>
      </c>
      <c r="J179" s="260"/>
      <c r="K179" s="260"/>
      <c r="L179" s="260"/>
      <c r="M179" s="260"/>
      <c r="N179" s="260"/>
    </row>
    <row r="180" spans="1:14" s="65" customFormat="1" ht="53.25" customHeight="1" x14ac:dyDescent="0.25">
      <c r="A180" s="42"/>
      <c r="B180" s="21"/>
      <c r="C180" s="21"/>
      <c r="D180" s="67"/>
      <c r="E180" s="43"/>
      <c r="F180" s="215" t="s">
        <v>222</v>
      </c>
      <c r="G180" s="270">
        <f>G181</f>
        <v>130</v>
      </c>
      <c r="H180" s="270">
        <f>H181</f>
        <v>130</v>
      </c>
      <c r="I180" s="270">
        <f>I181</f>
        <v>18.100000000000001</v>
      </c>
      <c r="J180" s="270">
        <f>I180/G180*100</f>
        <v>13.923076923076923</v>
      </c>
      <c r="K180" s="270">
        <f>K182</f>
        <v>70</v>
      </c>
      <c r="L180" s="270">
        <f>L182</f>
        <v>70</v>
      </c>
      <c r="M180" s="270">
        <v>0</v>
      </c>
      <c r="N180" s="270">
        <f>M180/K180*100</f>
        <v>0</v>
      </c>
    </row>
    <row r="181" spans="1:14" s="10" customFormat="1" ht="66.75" customHeight="1" x14ac:dyDescent="0.25">
      <c r="A181" s="42">
        <v>4016060</v>
      </c>
      <c r="B181" s="21" t="s">
        <v>199</v>
      </c>
      <c r="C181" s="21" t="s">
        <v>190</v>
      </c>
      <c r="D181" s="67" t="s">
        <v>192</v>
      </c>
      <c r="E181" s="44"/>
      <c r="F181" s="16" t="s">
        <v>267</v>
      </c>
      <c r="G181" s="283">
        <v>130</v>
      </c>
      <c r="H181" s="260">
        <f>30+30+30+40</f>
        <v>130</v>
      </c>
      <c r="I181" s="260">
        <f>18.1</f>
        <v>18.100000000000001</v>
      </c>
      <c r="J181" s="260"/>
      <c r="K181" s="260"/>
      <c r="L181" s="260"/>
      <c r="M181" s="260"/>
      <c r="N181" s="260"/>
    </row>
    <row r="182" spans="1:14" s="10" customFormat="1" ht="81.75" customHeight="1" x14ac:dyDescent="0.25">
      <c r="A182" s="42"/>
      <c r="B182" s="21"/>
      <c r="C182" s="21"/>
      <c r="D182" s="67"/>
      <c r="E182" s="44"/>
      <c r="F182" s="16" t="s">
        <v>223</v>
      </c>
      <c r="G182" s="260"/>
      <c r="H182" s="260"/>
      <c r="I182" s="260"/>
      <c r="J182" s="260"/>
      <c r="K182" s="260">
        <v>70</v>
      </c>
      <c r="L182" s="260">
        <v>70</v>
      </c>
      <c r="M182" s="260">
        <v>0</v>
      </c>
      <c r="N182" s="260"/>
    </row>
    <row r="183" spans="1:14" s="65" customFormat="1" ht="66.75" customHeight="1" x14ac:dyDescent="0.25">
      <c r="A183" s="42"/>
      <c r="B183" s="21"/>
      <c r="C183" s="21"/>
      <c r="D183" s="43"/>
      <c r="E183" s="43"/>
      <c r="F183" s="215" t="s">
        <v>278</v>
      </c>
      <c r="G183" s="270">
        <f>G184+G185+G187+G189+G186+G188</f>
        <v>610.29999999999995</v>
      </c>
      <c r="H183" s="270">
        <f>H184+H185+H187+H189+H186+H188</f>
        <v>448.49999999999994</v>
      </c>
      <c r="I183" s="270">
        <f>I184+I185+I187+I189+I186+I188</f>
        <v>229.19400000000002</v>
      </c>
      <c r="J183" s="270">
        <f>I183/G183*100</f>
        <v>37.554317548746525</v>
      </c>
      <c r="K183" s="270">
        <f>-K184+K185+K187+K188+K189</f>
        <v>53.87</v>
      </c>
      <c r="L183" s="270">
        <f>-L184+L185+L187+L188+L189</f>
        <v>53.87</v>
      </c>
      <c r="M183" s="270">
        <f>-M184+M185+M187+M188+M189</f>
        <v>51.87</v>
      </c>
      <c r="N183" s="270">
        <f>M183/K183*100</f>
        <v>96.28735845554111</v>
      </c>
    </row>
    <row r="184" spans="1:14" s="65" customFormat="1" ht="102.75" customHeight="1" x14ac:dyDescent="0.25">
      <c r="A184" s="42">
        <v>4016060</v>
      </c>
      <c r="B184" s="21" t="s">
        <v>199</v>
      </c>
      <c r="C184" s="21" t="s">
        <v>190</v>
      </c>
      <c r="D184" s="43" t="s">
        <v>224</v>
      </c>
      <c r="E184" s="43"/>
      <c r="F184" s="45" t="s">
        <v>402</v>
      </c>
      <c r="G184" s="281">
        <v>400</v>
      </c>
      <c r="H184" s="260">
        <f>232+32+32+30.2</f>
        <v>326.2</v>
      </c>
      <c r="I184" s="260">
        <v>146.80000000000001</v>
      </c>
      <c r="J184" s="260"/>
      <c r="K184" s="260"/>
      <c r="L184" s="260"/>
      <c r="M184" s="260"/>
      <c r="N184" s="260"/>
    </row>
    <row r="185" spans="1:14" s="65" customFormat="1" ht="57" customHeight="1" x14ac:dyDescent="0.25">
      <c r="A185" s="42">
        <v>4017420</v>
      </c>
      <c r="B185" s="21" t="s">
        <v>217</v>
      </c>
      <c r="C185" s="21" t="s">
        <v>37</v>
      </c>
      <c r="D185" s="85" t="s">
        <v>194</v>
      </c>
      <c r="E185" s="43"/>
      <c r="F185" s="45" t="s">
        <v>226</v>
      </c>
      <c r="G185" s="278">
        <v>200</v>
      </c>
      <c r="H185" s="260">
        <f>78+17+17</f>
        <v>112</v>
      </c>
      <c r="I185" s="260">
        <v>72.5</v>
      </c>
      <c r="J185" s="260"/>
      <c r="K185" s="260"/>
      <c r="L185" s="260"/>
      <c r="M185" s="260"/>
      <c r="N185" s="260"/>
    </row>
    <row r="186" spans="1:14" s="65" customFormat="1" ht="57" customHeight="1" x14ac:dyDescent="0.25">
      <c r="A186" s="42"/>
      <c r="B186" s="21"/>
      <c r="C186" s="21"/>
      <c r="D186" s="85"/>
      <c r="E186" s="43"/>
      <c r="F186" s="45" t="s">
        <v>460</v>
      </c>
      <c r="G186" s="278">
        <v>6.4</v>
      </c>
      <c r="H186" s="260">
        <v>6.4</v>
      </c>
      <c r="I186" s="260">
        <v>5.9939999999999998</v>
      </c>
      <c r="J186" s="260"/>
      <c r="K186" s="260"/>
      <c r="L186" s="260"/>
      <c r="M186" s="260"/>
      <c r="N186" s="260"/>
    </row>
    <row r="187" spans="1:14" s="65" customFormat="1" ht="36.75" customHeight="1" x14ac:dyDescent="0.25">
      <c r="A187" s="42"/>
      <c r="B187" s="21"/>
      <c r="C187" s="21"/>
      <c r="D187" s="85"/>
      <c r="E187" s="43"/>
      <c r="F187" s="45" t="s">
        <v>367</v>
      </c>
      <c r="G187" s="278"/>
      <c r="H187" s="278"/>
      <c r="I187" s="278"/>
      <c r="J187" s="260"/>
      <c r="K187" s="283">
        <v>42.87</v>
      </c>
      <c r="L187" s="260">
        <v>42.87</v>
      </c>
      <c r="M187" s="260">
        <v>42.87</v>
      </c>
      <c r="N187" s="260"/>
    </row>
    <row r="188" spans="1:14" s="65" customFormat="1" ht="36.75" customHeight="1" x14ac:dyDescent="0.25">
      <c r="A188" s="42"/>
      <c r="B188" s="21"/>
      <c r="C188" s="21"/>
      <c r="D188" s="85"/>
      <c r="E188" s="43"/>
      <c r="F188" s="45" t="s">
        <v>444</v>
      </c>
      <c r="G188" s="278"/>
      <c r="H188" s="278"/>
      <c r="I188" s="278"/>
      <c r="J188" s="260"/>
      <c r="K188" s="283">
        <v>11</v>
      </c>
      <c r="L188" s="260">
        <v>11</v>
      </c>
      <c r="M188" s="260">
        <v>9</v>
      </c>
      <c r="N188" s="260"/>
    </row>
    <row r="189" spans="1:14" s="65" customFormat="1" ht="59.25" customHeight="1" x14ac:dyDescent="0.25">
      <c r="A189" s="42"/>
      <c r="B189" s="21"/>
      <c r="C189" s="21"/>
      <c r="D189" s="85"/>
      <c r="E189" s="43"/>
      <c r="F189" s="45" t="s">
        <v>368</v>
      </c>
      <c r="G189" s="260">
        <v>3.9</v>
      </c>
      <c r="H189" s="260">
        <v>3.9</v>
      </c>
      <c r="I189" s="260">
        <v>3.9</v>
      </c>
      <c r="J189" s="260"/>
      <c r="K189" s="260"/>
      <c r="L189" s="260"/>
      <c r="M189" s="260"/>
      <c r="N189" s="260"/>
    </row>
    <row r="190" spans="1:14" s="242" customFormat="1" ht="44.25" customHeight="1" x14ac:dyDescent="0.25">
      <c r="A190" s="239"/>
      <c r="B190" s="240" t="s">
        <v>422</v>
      </c>
      <c r="C190" s="240" t="s">
        <v>423</v>
      </c>
      <c r="D190" s="244" t="s">
        <v>424</v>
      </c>
      <c r="E190" s="210"/>
      <c r="F190" s="245" t="s">
        <v>345</v>
      </c>
      <c r="G190" s="271">
        <f>G192+G191</f>
        <v>300</v>
      </c>
      <c r="H190" s="271">
        <f>H192+H191</f>
        <v>300</v>
      </c>
      <c r="I190" s="271">
        <f t="shared" ref="I190" si="13">I192</f>
        <v>0</v>
      </c>
      <c r="J190" s="271">
        <f>I190/G190*100</f>
        <v>0</v>
      </c>
      <c r="K190" s="271">
        <f>K191+K192</f>
        <v>9.5</v>
      </c>
      <c r="L190" s="271">
        <f>L191+L192</f>
        <v>9.5</v>
      </c>
      <c r="M190" s="271">
        <f>M191+M192</f>
        <v>8</v>
      </c>
      <c r="N190" s="271">
        <f>M190/K190*100</f>
        <v>84.210526315789465</v>
      </c>
    </row>
    <row r="191" spans="1:14" s="65" customFormat="1" ht="47.25" customHeight="1" x14ac:dyDescent="0.25">
      <c r="A191" s="42"/>
      <c r="B191" s="21"/>
      <c r="C191" s="21"/>
      <c r="D191" s="85"/>
      <c r="E191" s="43"/>
      <c r="F191" s="45" t="s">
        <v>420</v>
      </c>
      <c r="G191" s="260"/>
      <c r="H191" s="260"/>
      <c r="I191" s="260"/>
      <c r="J191" s="260"/>
      <c r="K191" s="283">
        <v>9.5</v>
      </c>
      <c r="L191" s="260">
        <v>9.5</v>
      </c>
      <c r="M191" s="260">
        <v>8</v>
      </c>
      <c r="N191" s="260"/>
    </row>
    <row r="192" spans="1:14" s="65" customFormat="1" ht="32.25" customHeight="1" x14ac:dyDescent="0.25">
      <c r="A192" s="42"/>
      <c r="B192" s="21"/>
      <c r="C192" s="21"/>
      <c r="D192" s="85"/>
      <c r="E192" s="43"/>
      <c r="F192" s="45" t="s">
        <v>370</v>
      </c>
      <c r="G192" s="283">
        <v>300</v>
      </c>
      <c r="H192" s="260">
        <v>300</v>
      </c>
      <c r="I192" s="260">
        <v>0</v>
      </c>
      <c r="J192" s="260"/>
      <c r="K192" s="260"/>
      <c r="L192" s="260"/>
      <c r="M192" s="260"/>
      <c r="N192" s="260"/>
    </row>
    <row r="193" spans="1:14" s="249" customFormat="1" ht="56.25" customHeight="1" x14ac:dyDescent="0.25">
      <c r="A193" s="246"/>
      <c r="B193" s="247"/>
      <c r="C193" s="247"/>
      <c r="D193" s="210"/>
      <c r="E193" s="214"/>
      <c r="F193" s="248" t="s">
        <v>291</v>
      </c>
      <c r="G193" s="270">
        <f>G194+G195+G196+G197+G200</f>
        <v>1331.9</v>
      </c>
      <c r="H193" s="270">
        <f>H194+H195+H196+H197+H200</f>
        <v>1081.9000000000001</v>
      </c>
      <c r="I193" s="270">
        <f>I194+I195+I196+I197+I200</f>
        <v>1059</v>
      </c>
      <c r="J193" s="270">
        <f>I193/G193*100</f>
        <v>79.51047375929123</v>
      </c>
      <c r="K193" s="270">
        <f>K194+K197+K200</f>
        <v>4160</v>
      </c>
      <c r="L193" s="270">
        <f>L194+L197+L200</f>
        <v>1988</v>
      </c>
      <c r="M193" s="270">
        <f>M194+M197+M200</f>
        <v>571.24946999999997</v>
      </c>
      <c r="N193" s="270">
        <f>M193/K193*100</f>
        <v>13.731958413461538</v>
      </c>
    </row>
    <row r="194" spans="1:14" s="19" customFormat="1" ht="68.25" customHeight="1" x14ac:dyDescent="0.25">
      <c r="A194" s="42">
        <v>4016010</v>
      </c>
      <c r="B194" s="24" t="s">
        <v>227</v>
      </c>
      <c r="C194" s="24" t="s">
        <v>203</v>
      </c>
      <c r="D194" s="43" t="s">
        <v>228</v>
      </c>
      <c r="E194" s="44"/>
      <c r="F194" s="88" t="s">
        <v>229</v>
      </c>
      <c r="G194" s="260">
        <v>1181.9000000000001</v>
      </c>
      <c r="H194" s="260">
        <v>1081.9000000000001</v>
      </c>
      <c r="I194" s="260">
        <v>1059</v>
      </c>
      <c r="J194" s="260"/>
      <c r="K194" s="260"/>
      <c r="L194" s="260"/>
      <c r="M194" s="260"/>
      <c r="N194" s="260"/>
    </row>
    <row r="195" spans="1:14" s="19" customFormat="1" ht="79.5" customHeight="1" x14ac:dyDescent="0.25">
      <c r="A195" s="42"/>
      <c r="B195" s="24"/>
      <c r="C195" s="24"/>
      <c r="D195" s="43"/>
      <c r="E195" s="44"/>
      <c r="F195" s="88" t="s">
        <v>434</v>
      </c>
      <c r="G195" s="278">
        <v>50</v>
      </c>
      <c r="H195" s="278">
        <v>0</v>
      </c>
      <c r="I195" s="278">
        <v>0</v>
      </c>
      <c r="J195" s="260"/>
      <c r="K195" s="260"/>
      <c r="L195" s="260"/>
      <c r="M195" s="260"/>
      <c r="N195" s="260"/>
    </row>
    <row r="196" spans="1:14" s="19" customFormat="1" ht="79.5" customHeight="1" x14ac:dyDescent="0.25">
      <c r="A196" s="42"/>
      <c r="B196" s="24"/>
      <c r="C196" s="24"/>
      <c r="D196" s="43"/>
      <c r="E196" s="44"/>
      <c r="F196" s="88" t="s">
        <v>435</v>
      </c>
      <c r="G196" s="278">
        <v>100</v>
      </c>
      <c r="H196" s="278">
        <v>0</v>
      </c>
      <c r="I196" s="278">
        <v>0</v>
      </c>
      <c r="J196" s="260"/>
      <c r="K196" s="260"/>
      <c r="L196" s="260"/>
      <c r="M196" s="260"/>
      <c r="N196" s="260"/>
    </row>
    <row r="197" spans="1:14" s="19" customFormat="1" ht="39" customHeight="1" x14ac:dyDescent="0.25">
      <c r="A197" s="11" t="s">
        <v>181</v>
      </c>
      <c r="B197" s="11" t="s">
        <v>182</v>
      </c>
      <c r="C197" s="21" t="s">
        <v>203</v>
      </c>
      <c r="D197" s="67" t="s">
        <v>183</v>
      </c>
      <c r="E197" s="44"/>
      <c r="F197" s="86"/>
      <c r="G197" s="260">
        <f>G198</f>
        <v>0</v>
      </c>
      <c r="H197" s="260"/>
      <c r="I197" s="260"/>
      <c r="J197" s="260"/>
      <c r="K197" s="260">
        <f>SUM(K198:K199)</f>
        <v>2610</v>
      </c>
      <c r="L197" s="260">
        <f>SUM(L198:L199)</f>
        <v>1238</v>
      </c>
      <c r="M197" s="260">
        <f>SUM(M198:M199)</f>
        <v>362</v>
      </c>
      <c r="N197" s="260">
        <f>M197/K197*100</f>
        <v>13.869731800766283</v>
      </c>
    </row>
    <row r="198" spans="1:14" s="227" customFormat="1" ht="78" customHeight="1" x14ac:dyDescent="0.25">
      <c r="A198" s="154" t="s">
        <v>230</v>
      </c>
      <c r="B198" s="154" t="s">
        <v>279</v>
      </c>
      <c r="C198" s="24" t="s">
        <v>203</v>
      </c>
      <c r="D198" s="43" t="s">
        <v>231</v>
      </c>
      <c r="E198" s="43" t="s">
        <v>231</v>
      </c>
      <c r="F198" s="67" t="s">
        <v>268</v>
      </c>
      <c r="G198" s="260"/>
      <c r="H198" s="260"/>
      <c r="I198" s="260"/>
      <c r="J198" s="260"/>
      <c r="K198" s="273">
        <f>1710</f>
        <v>1710</v>
      </c>
      <c r="L198" s="273">
        <v>713</v>
      </c>
      <c r="M198" s="273"/>
      <c r="N198" s="273"/>
    </row>
    <row r="199" spans="1:14" s="227" customFormat="1" ht="54" customHeight="1" x14ac:dyDescent="0.25">
      <c r="A199" s="154"/>
      <c r="B199" s="154"/>
      <c r="C199" s="24"/>
      <c r="D199" s="43"/>
      <c r="E199" s="43"/>
      <c r="F199" s="67" t="s">
        <v>269</v>
      </c>
      <c r="G199" s="260"/>
      <c r="H199" s="260"/>
      <c r="I199" s="260"/>
      <c r="J199" s="260"/>
      <c r="K199" s="273">
        <v>900</v>
      </c>
      <c r="L199" s="273">
        <v>525</v>
      </c>
      <c r="M199" s="273">
        <v>362</v>
      </c>
      <c r="N199" s="273"/>
    </row>
    <row r="200" spans="1:14" s="227" customFormat="1" ht="35.25" customHeight="1" x14ac:dyDescent="0.25">
      <c r="A200" s="89">
        <v>4016310</v>
      </c>
      <c r="B200" s="24" t="s">
        <v>36</v>
      </c>
      <c r="C200" s="24" t="s">
        <v>37</v>
      </c>
      <c r="D200" s="43" t="s">
        <v>232</v>
      </c>
      <c r="E200" s="44"/>
      <c r="F200" s="43"/>
      <c r="G200" s="260">
        <f>SUM(G201:G202)</f>
        <v>0</v>
      </c>
      <c r="H200" s="260"/>
      <c r="I200" s="260"/>
      <c r="J200" s="260"/>
      <c r="K200" s="260">
        <f>SUM(K201:K202)</f>
        <v>1550</v>
      </c>
      <c r="L200" s="260">
        <f>SUM(L201:L202)</f>
        <v>750</v>
      </c>
      <c r="M200" s="260">
        <f>SUM(M201:M202)</f>
        <v>209.24947</v>
      </c>
      <c r="N200" s="260">
        <f>M200/K200*100</f>
        <v>13.499965806451614</v>
      </c>
    </row>
    <row r="201" spans="1:14" s="19" customFormat="1" ht="37.5" customHeight="1" x14ac:dyDescent="0.25">
      <c r="A201" s="89"/>
      <c r="B201" s="24"/>
      <c r="C201" s="24"/>
      <c r="D201" s="80" t="s">
        <v>178</v>
      </c>
      <c r="E201" s="44"/>
      <c r="F201" s="43" t="s">
        <v>270</v>
      </c>
      <c r="G201" s="260"/>
      <c r="H201" s="260"/>
      <c r="I201" s="260"/>
      <c r="J201" s="260"/>
      <c r="K201" s="260">
        <v>750</v>
      </c>
      <c r="L201" s="260">
        <v>750</v>
      </c>
      <c r="M201" s="260">
        <v>209.24947</v>
      </c>
      <c r="N201" s="260"/>
    </row>
    <row r="202" spans="1:14" s="19" customFormat="1" ht="72" customHeight="1" x14ac:dyDescent="0.25">
      <c r="A202" s="89"/>
      <c r="B202" s="24"/>
      <c r="C202" s="24"/>
      <c r="D202" s="43"/>
      <c r="E202" s="44"/>
      <c r="F202" s="43" t="s">
        <v>271</v>
      </c>
      <c r="G202" s="260"/>
      <c r="H202" s="260"/>
      <c r="I202" s="260"/>
      <c r="J202" s="260"/>
      <c r="K202" s="260">
        <v>800</v>
      </c>
      <c r="L202" s="260"/>
      <c r="M202" s="260"/>
      <c r="N202" s="260"/>
    </row>
    <row r="203" spans="1:14" s="249" customFormat="1" ht="52.5" customHeight="1" x14ac:dyDescent="0.25">
      <c r="A203" s="250">
        <v>4016052</v>
      </c>
      <c r="B203" s="247" t="s">
        <v>189</v>
      </c>
      <c r="C203" s="247" t="s">
        <v>190</v>
      </c>
      <c r="D203" s="210" t="s">
        <v>191</v>
      </c>
      <c r="E203" s="214"/>
      <c r="F203" s="251" t="s">
        <v>322</v>
      </c>
      <c r="G203" s="270">
        <f>G204</f>
        <v>15</v>
      </c>
      <c r="H203" s="270">
        <f t="shared" ref="H203:I203" si="14">H204</f>
        <v>15</v>
      </c>
      <c r="I203" s="270">
        <f t="shared" si="14"/>
        <v>6.8</v>
      </c>
      <c r="J203" s="271">
        <f>I203/G203*100</f>
        <v>45.333333333333329</v>
      </c>
      <c r="K203" s="271"/>
      <c r="L203" s="271"/>
      <c r="M203" s="271"/>
      <c r="N203" s="271"/>
    </row>
    <row r="204" spans="1:14" s="19" customFormat="1" ht="35.25" customHeight="1" x14ac:dyDescent="0.25">
      <c r="A204" s="89"/>
      <c r="B204" s="24"/>
      <c r="C204" s="24"/>
      <c r="D204" s="43"/>
      <c r="E204" s="44"/>
      <c r="F204" s="43" t="s">
        <v>321</v>
      </c>
      <c r="G204" s="260">
        <v>15</v>
      </c>
      <c r="H204" s="260">
        <v>15</v>
      </c>
      <c r="I204" s="260">
        <v>6.8</v>
      </c>
      <c r="J204" s="260"/>
      <c r="K204" s="260"/>
      <c r="L204" s="260"/>
      <c r="M204" s="260"/>
      <c r="N204" s="260"/>
    </row>
    <row r="205" spans="1:14" s="249" customFormat="1" ht="66" customHeight="1" x14ac:dyDescent="0.25">
      <c r="A205" s="250">
        <v>4017810</v>
      </c>
      <c r="B205" s="247" t="s">
        <v>242</v>
      </c>
      <c r="C205" s="247" t="s">
        <v>243</v>
      </c>
      <c r="D205" s="210" t="s">
        <v>244</v>
      </c>
      <c r="E205" s="214"/>
      <c r="F205" s="288" t="s">
        <v>324</v>
      </c>
      <c r="G205" s="271">
        <f>G206</f>
        <v>150</v>
      </c>
      <c r="H205" s="271">
        <f>H206</f>
        <v>150</v>
      </c>
      <c r="I205" s="271">
        <f>I206</f>
        <v>0</v>
      </c>
      <c r="J205" s="271">
        <f>I205/G205*100</f>
        <v>0</v>
      </c>
      <c r="K205" s="271"/>
      <c r="L205" s="271"/>
      <c r="M205" s="271"/>
      <c r="N205" s="271"/>
    </row>
    <row r="206" spans="1:14" s="227" customFormat="1" ht="153.75" customHeight="1" x14ac:dyDescent="0.25">
      <c r="A206" s="89"/>
      <c r="B206" s="24"/>
      <c r="C206" s="24"/>
      <c r="D206" s="43"/>
      <c r="E206" s="44"/>
      <c r="F206" s="43" t="s">
        <v>323</v>
      </c>
      <c r="G206" s="260">
        <v>150</v>
      </c>
      <c r="H206" s="260">
        <v>150</v>
      </c>
      <c r="I206" s="260">
        <v>0</v>
      </c>
      <c r="J206" s="260">
        <f>I206/G206*100</f>
        <v>0</v>
      </c>
      <c r="K206" s="260"/>
      <c r="L206" s="260"/>
      <c r="M206" s="260"/>
      <c r="N206" s="260"/>
    </row>
    <row r="207" spans="1:14" s="19" customFormat="1" ht="36" customHeight="1" x14ac:dyDescent="0.25">
      <c r="A207" s="77"/>
      <c r="B207" s="24"/>
      <c r="C207" s="24"/>
      <c r="D207" s="198" t="s">
        <v>50</v>
      </c>
      <c r="E207" s="196"/>
      <c r="F207" s="204"/>
      <c r="G207" s="262">
        <f>G109+G149+G167+G175+G178+G180+G183+G193+G203+G205+G190</f>
        <v>28992.928</v>
      </c>
      <c r="H207" s="262">
        <f>H109+H149+H167+H175+H178+H180+H183+H193+H203+H205+H190</f>
        <v>20023.620000000003</v>
      </c>
      <c r="I207" s="262">
        <f>I109+I149+I167+I175+I178+I180+I183+I193+I203+I205+I190</f>
        <v>16201.749999999998</v>
      </c>
      <c r="J207" s="262">
        <f>I207/G207*100</f>
        <v>55.881730882786307</v>
      </c>
      <c r="K207" s="262">
        <f>K109+K149+K167+K175+K178+K180+K183+K193+K203+K205+K190</f>
        <v>39139.162000000004</v>
      </c>
      <c r="L207" s="262">
        <f>L109+L149+L167+L175+L178+L180+L183+L193+L203+L205+L190</f>
        <v>24989.961999999996</v>
      </c>
      <c r="M207" s="262">
        <f>M109+M149+M167+M175+M178+M180+M183+M193+M203+M205+M190</f>
        <v>9786.4188700000013</v>
      </c>
      <c r="N207" s="262">
        <f>M207/K207*100</f>
        <v>25.004160462096763</v>
      </c>
    </row>
    <row r="208" spans="1:14" s="19" customFormat="1" ht="109.5" customHeight="1" x14ac:dyDescent="0.25">
      <c r="A208" s="169">
        <v>6000000</v>
      </c>
      <c r="B208" s="177"/>
      <c r="C208" s="177"/>
      <c r="D208" s="186" t="s">
        <v>233</v>
      </c>
      <c r="E208" s="190"/>
      <c r="F208" s="191"/>
      <c r="G208" s="267"/>
      <c r="H208" s="267"/>
      <c r="I208" s="267"/>
      <c r="J208" s="267"/>
      <c r="K208" s="267"/>
      <c r="L208" s="267"/>
      <c r="M208" s="267"/>
      <c r="N208" s="267"/>
    </row>
    <row r="209" spans="1:14" s="19" customFormat="1" ht="81.75" customHeight="1" x14ac:dyDescent="0.25">
      <c r="A209" s="187">
        <v>6010000</v>
      </c>
      <c r="B209" s="177"/>
      <c r="C209" s="177"/>
      <c r="D209" s="188" t="s">
        <v>233</v>
      </c>
      <c r="E209" s="190"/>
      <c r="F209" s="191"/>
      <c r="G209" s="267"/>
      <c r="H209" s="267"/>
      <c r="I209" s="267"/>
      <c r="J209" s="267"/>
      <c r="K209" s="267"/>
      <c r="L209" s="267"/>
      <c r="M209" s="267"/>
      <c r="N209" s="267"/>
    </row>
    <row r="210" spans="1:14" s="19" customFormat="1" ht="44.25" customHeight="1" x14ac:dyDescent="0.25">
      <c r="A210" s="77"/>
      <c r="B210" s="24"/>
      <c r="C210" s="24"/>
      <c r="D210" s="44"/>
      <c r="E210" s="44"/>
      <c r="F210" s="216" t="s">
        <v>272</v>
      </c>
      <c r="G210" s="274">
        <f>G211+G212+G213+G214</f>
        <v>320</v>
      </c>
      <c r="H210" s="274">
        <f t="shared" ref="H210:I210" si="15">H211+H212+H213+H214</f>
        <v>250</v>
      </c>
      <c r="I210" s="274">
        <f t="shared" si="15"/>
        <v>4.0999999999999996</v>
      </c>
      <c r="J210" s="274">
        <f>I210/G210*100</f>
        <v>1.28125</v>
      </c>
      <c r="K210" s="274">
        <f>K211+K212+K214</f>
        <v>500</v>
      </c>
      <c r="L210" s="274">
        <f>L211+L212+L214</f>
        <v>0</v>
      </c>
      <c r="M210" s="274">
        <f>M211+M212+M214</f>
        <v>0</v>
      </c>
      <c r="N210" s="274">
        <f>M210/K210*100</f>
        <v>0</v>
      </c>
    </row>
    <row r="211" spans="1:14" s="19" customFormat="1" ht="63" customHeight="1" x14ac:dyDescent="0.25">
      <c r="A211" s="11" t="s">
        <v>234</v>
      </c>
      <c r="B211" s="11" t="s">
        <v>235</v>
      </c>
      <c r="C211" s="24" t="s">
        <v>236</v>
      </c>
      <c r="D211" s="43" t="s">
        <v>237</v>
      </c>
      <c r="E211" s="44"/>
      <c r="F211" s="88" t="s">
        <v>395</v>
      </c>
      <c r="G211" s="260">
        <v>31.5</v>
      </c>
      <c r="H211" s="260">
        <f>31.5</f>
        <v>31.5</v>
      </c>
      <c r="I211" s="260">
        <v>0</v>
      </c>
      <c r="J211" s="260"/>
      <c r="K211" s="260"/>
      <c r="L211" s="260"/>
      <c r="M211" s="260"/>
      <c r="N211" s="260"/>
    </row>
    <row r="212" spans="1:14" s="19" customFormat="1" ht="79.5" customHeight="1" x14ac:dyDescent="0.25">
      <c r="A212" s="11"/>
      <c r="B212" s="11"/>
      <c r="C212" s="24"/>
      <c r="D212" s="43"/>
      <c r="E212" s="44"/>
      <c r="F212" s="88" t="s">
        <v>307</v>
      </c>
      <c r="G212" s="260">
        <v>100</v>
      </c>
      <c r="H212" s="260">
        <v>30</v>
      </c>
      <c r="I212" s="260">
        <f>4.1</f>
        <v>4.0999999999999996</v>
      </c>
      <c r="J212" s="260"/>
      <c r="K212" s="260"/>
      <c r="L212" s="260"/>
      <c r="M212" s="260"/>
      <c r="N212" s="260"/>
    </row>
    <row r="213" spans="1:14" s="19" customFormat="1" ht="142.5" customHeight="1" x14ac:dyDescent="0.25">
      <c r="A213" s="11"/>
      <c r="B213" s="11"/>
      <c r="C213" s="24"/>
      <c r="D213" s="43"/>
      <c r="E213" s="44"/>
      <c r="F213" s="88" t="s">
        <v>437</v>
      </c>
      <c r="G213" s="260">
        <v>188.5</v>
      </c>
      <c r="H213" s="260">
        <v>188.5</v>
      </c>
      <c r="I213" s="260">
        <v>0</v>
      </c>
      <c r="J213" s="260"/>
      <c r="K213" s="260"/>
      <c r="L213" s="260"/>
      <c r="M213" s="260"/>
      <c r="N213" s="260"/>
    </row>
    <row r="214" spans="1:14" s="51" customFormat="1" ht="82.5" customHeight="1" x14ac:dyDescent="0.25">
      <c r="A214" s="42">
        <v>6017420</v>
      </c>
      <c r="B214" s="21" t="s">
        <v>217</v>
      </c>
      <c r="C214" s="21" t="s">
        <v>37</v>
      </c>
      <c r="D214" s="43" t="s">
        <v>194</v>
      </c>
      <c r="E214" s="43"/>
      <c r="F214" s="88" t="s">
        <v>374</v>
      </c>
      <c r="G214" s="260"/>
      <c r="H214" s="260"/>
      <c r="I214" s="260"/>
      <c r="J214" s="260"/>
      <c r="K214" s="260">
        <v>500</v>
      </c>
      <c r="L214" s="260">
        <v>0</v>
      </c>
      <c r="M214" s="260">
        <v>0</v>
      </c>
      <c r="N214" s="260"/>
    </row>
    <row r="215" spans="1:14" s="51" customFormat="1" ht="49.5" customHeight="1" x14ac:dyDescent="0.25">
      <c r="A215" s="42"/>
      <c r="B215" s="21"/>
      <c r="C215" s="21"/>
      <c r="D215" s="43"/>
      <c r="E215" s="43"/>
      <c r="F215" s="253" t="s">
        <v>308</v>
      </c>
      <c r="G215" s="275">
        <f t="shared" ref="G215:N215" si="16">G216+G217+G218</f>
        <v>135.69999999999999</v>
      </c>
      <c r="H215" s="275">
        <f t="shared" si="16"/>
        <v>135.69999999999999</v>
      </c>
      <c r="I215" s="275">
        <f t="shared" si="16"/>
        <v>0</v>
      </c>
      <c r="J215" s="275">
        <f>I215/G215*100</f>
        <v>0</v>
      </c>
      <c r="K215" s="275">
        <f>K216+K217+K218</f>
        <v>180.17599999999999</v>
      </c>
      <c r="L215" s="275">
        <f>L216+L217+L218</f>
        <v>110.176</v>
      </c>
      <c r="M215" s="275">
        <f>M216+M217+M218</f>
        <v>41.6</v>
      </c>
      <c r="N215" s="275">
        <f t="shared" si="16"/>
        <v>29.714285714285715</v>
      </c>
    </row>
    <row r="216" spans="1:14" s="51" customFormat="1" ht="92.25" customHeight="1" x14ac:dyDescent="0.25">
      <c r="A216" s="42">
        <v>6019110</v>
      </c>
      <c r="B216" s="21" t="s">
        <v>239</v>
      </c>
      <c r="C216" s="21" t="s">
        <v>240</v>
      </c>
      <c r="D216" s="43" t="s">
        <v>274</v>
      </c>
      <c r="E216" s="12"/>
      <c r="F216" s="43" t="s">
        <v>389</v>
      </c>
      <c r="G216" s="260"/>
      <c r="H216" s="260"/>
      <c r="I216" s="260"/>
      <c r="J216" s="260"/>
      <c r="K216" s="260">
        <v>140</v>
      </c>
      <c r="L216" s="260">
        <v>70</v>
      </c>
      <c r="M216" s="260">
        <v>41.6</v>
      </c>
      <c r="N216" s="260">
        <f>M216/K216*100</f>
        <v>29.714285714285715</v>
      </c>
    </row>
    <row r="217" spans="1:14" s="51" customFormat="1" ht="68.25" customHeight="1" x14ac:dyDescent="0.25">
      <c r="A217" s="42">
        <v>6019110</v>
      </c>
      <c r="B217" s="21" t="s">
        <v>239</v>
      </c>
      <c r="C217" s="21" t="s">
        <v>240</v>
      </c>
      <c r="D217" s="43" t="s">
        <v>274</v>
      </c>
      <c r="E217" s="12"/>
      <c r="F217" s="43" t="s">
        <v>396</v>
      </c>
      <c r="G217" s="260"/>
      <c r="H217" s="260"/>
      <c r="I217" s="260"/>
      <c r="J217" s="260"/>
      <c r="K217" s="260">
        <v>40.176000000000002</v>
      </c>
      <c r="L217" s="260">
        <v>40.176000000000002</v>
      </c>
      <c r="M217" s="260">
        <v>0</v>
      </c>
      <c r="N217" s="260">
        <f>M217/K217*100</f>
        <v>0</v>
      </c>
    </row>
    <row r="218" spans="1:14" s="51" customFormat="1" ht="122.25" customHeight="1" x14ac:dyDescent="0.25">
      <c r="A218" s="42">
        <v>6016060</v>
      </c>
      <c r="B218" s="21" t="s">
        <v>199</v>
      </c>
      <c r="C218" s="21" t="s">
        <v>190</v>
      </c>
      <c r="D218" s="287" t="s">
        <v>306</v>
      </c>
      <c r="E218" s="12"/>
      <c r="F218" s="43" t="s">
        <v>390</v>
      </c>
      <c r="G218" s="260">
        <v>135.69999999999999</v>
      </c>
      <c r="H218" s="260">
        <v>135.69999999999999</v>
      </c>
      <c r="I218" s="260">
        <v>0</v>
      </c>
      <c r="J218" s="260">
        <f>I218/G218*100</f>
        <v>0</v>
      </c>
      <c r="K218" s="260"/>
      <c r="L218" s="260"/>
      <c r="M218" s="260"/>
      <c r="N218" s="260"/>
    </row>
    <row r="219" spans="1:14" s="32" customFormat="1" ht="27.75" customHeight="1" x14ac:dyDescent="0.25">
      <c r="A219" s="49"/>
      <c r="B219" s="49"/>
      <c r="C219" s="49"/>
      <c r="D219" s="198" t="s">
        <v>50</v>
      </c>
      <c r="E219" s="198"/>
      <c r="F219" s="198"/>
      <c r="G219" s="262">
        <f>G210+G215</f>
        <v>455.7</v>
      </c>
      <c r="H219" s="262">
        <f>H210+H215</f>
        <v>385.7</v>
      </c>
      <c r="I219" s="262">
        <f>I210+I215</f>
        <v>4.0999999999999996</v>
      </c>
      <c r="J219" s="262">
        <f>I219/G219*100</f>
        <v>0.89971472459951707</v>
      </c>
      <c r="K219" s="262">
        <f>K210+K215</f>
        <v>680.17599999999993</v>
      </c>
      <c r="L219" s="262">
        <f t="shared" ref="L219:N219" si="17">L210+L215</f>
        <v>110.176</v>
      </c>
      <c r="M219" s="262">
        <f t="shared" si="17"/>
        <v>41.6</v>
      </c>
      <c r="N219" s="262">
        <f t="shared" si="17"/>
        <v>29.714285714285715</v>
      </c>
    </row>
    <row r="220" spans="1:14" s="51" customFormat="1" ht="100.5" customHeight="1" x14ac:dyDescent="0.25">
      <c r="A220" s="169">
        <v>6700000</v>
      </c>
      <c r="B220" s="192"/>
      <c r="C220" s="192"/>
      <c r="D220" s="181" t="s">
        <v>241</v>
      </c>
      <c r="E220" s="184"/>
      <c r="F220" s="173"/>
      <c r="G220" s="265"/>
      <c r="H220" s="265"/>
      <c r="I220" s="265"/>
      <c r="J220" s="265"/>
      <c r="K220" s="265"/>
      <c r="L220" s="265"/>
      <c r="M220" s="265"/>
      <c r="N220" s="265"/>
    </row>
    <row r="221" spans="1:14" s="51" customFormat="1" ht="96" customHeight="1" x14ac:dyDescent="0.25">
      <c r="A221" s="187">
        <v>6710000</v>
      </c>
      <c r="B221" s="192"/>
      <c r="C221" s="192"/>
      <c r="D221" s="183" t="s">
        <v>241</v>
      </c>
      <c r="E221" s="184"/>
      <c r="F221" s="173"/>
      <c r="G221" s="265"/>
      <c r="H221" s="265"/>
      <c r="I221" s="265"/>
      <c r="J221" s="265"/>
      <c r="K221" s="265"/>
      <c r="L221" s="265"/>
      <c r="M221" s="265"/>
      <c r="N221" s="265"/>
    </row>
    <row r="222" spans="1:14" s="51" customFormat="1" ht="56.25" customHeight="1" x14ac:dyDescent="0.25">
      <c r="A222" s="91">
        <v>6717810</v>
      </c>
      <c r="B222" s="49" t="s">
        <v>242</v>
      </c>
      <c r="C222" s="49" t="s">
        <v>243</v>
      </c>
      <c r="D222" s="67" t="s">
        <v>244</v>
      </c>
      <c r="E222" s="47"/>
      <c r="F222" s="13" t="s">
        <v>381</v>
      </c>
      <c r="G222" s="261">
        <f>G223+G224</f>
        <v>213.89999999999998</v>
      </c>
      <c r="H222" s="261">
        <f>H223+H224</f>
        <v>204.4</v>
      </c>
      <c r="I222" s="261">
        <f>I223+I224</f>
        <v>200.07300000000001</v>
      </c>
      <c r="J222" s="261">
        <f>I222/G222*100</f>
        <v>93.535764375876596</v>
      </c>
      <c r="K222" s="261">
        <f>K223+K224</f>
        <v>94.4</v>
      </c>
      <c r="L222" s="261">
        <f>L223+L224</f>
        <v>94.4</v>
      </c>
      <c r="M222" s="261">
        <f>M223+M224</f>
        <v>94.4</v>
      </c>
      <c r="N222" s="261">
        <f>M222/K222*100</f>
        <v>100</v>
      </c>
    </row>
    <row r="223" spans="1:14" s="51" customFormat="1" ht="36" customHeight="1" x14ac:dyDescent="0.25">
      <c r="A223" s="91"/>
      <c r="B223" s="49"/>
      <c r="C223" s="49"/>
      <c r="D223" s="67"/>
      <c r="E223" s="47"/>
      <c r="F223" s="43" t="s">
        <v>382</v>
      </c>
      <c r="G223" s="260">
        <v>38.299999999999997</v>
      </c>
      <c r="H223" s="260">
        <v>28.8</v>
      </c>
      <c r="I223" s="260">
        <v>24.536999999999999</v>
      </c>
      <c r="J223" s="260">
        <f>I223/G223*100</f>
        <v>64.065274151436029</v>
      </c>
      <c r="K223" s="260">
        <v>0</v>
      </c>
      <c r="L223" s="260">
        <v>0</v>
      </c>
      <c r="M223" s="260">
        <v>0</v>
      </c>
      <c r="N223" s="260"/>
    </row>
    <row r="224" spans="1:14" s="51" customFormat="1" ht="54.75" customHeight="1" x14ac:dyDescent="0.25">
      <c r="A224" s="91"/>
      <c r="B224" s="49"/>
      <c r="C224" s="49"/>
      <c r="D224" s="67"/>
      <c r="E224" s="47"/>
      <c r="F224" s="43" t="s">
        <v>383</v>
      </c>
      <c r="G224" s="260">
        <v>175.6</v>
      </c>
      <c r="H224" s="260">
        <v>175.6</v>
      </c>
      <c r="I224" s="260">
        <v>175.536</v>
      </c>
      <c r="J224" s="260">
        <f>I224/G224*100</f>
        <v>99.96355353075171</v>
      </c>
      <c r="K224" s="260">
        <v>94.4</v>
      </c>
      <c r="L224" s="260">
        <v>94.4</v>
      </c>
      <c r="M224" s="260">
        <v>94.4</v>
      </c>
      <c r="N224" s="260"/>
    </row>
    <row r="225" spans="1:14" s="51" customFormat="1" ht="69" customHeight="1" x14ac:dyDescent="0.25">
      <c r="A225" s="91"/>
      <c r="B225" s="49"/>
      <c r="C225" s="49"/>
      <c r="D225" s="67"/>
      <c r="E225" s="47"/>
      <c r="F225" s="13" t="s">
        <v>350</v>
      </c>
      <c r="G225" s="261">
        <f>G226+G228+G227</f>
        <v>60</v>
      </c>
      <c r="H225" s="261">
        <f>H226+H228+H227</f>
        <v>30</v>
      </c>
      <c r="I225" s="261">
        <f>I226+I228+I227</f>
        <v>20.8</v>
      </c>
      <c r="J225" s="261">
        <f t="shared" ref="J225:N225" si="18">J226+J228</f>
        <v>0</v>
      </c>
      <c r="K225" s="261">
        <f>K226+K228</f>
        <v>203.6</v>
      </c>
      <c r="L225" s="261">
        <f>L226+L228</f>
        <v>203.6</v>
      </c>
      <c r="M225" s="261">
        <f>M226+M228</f>
        <v>42.807600000000001</v>
      </c>
      <c r="N225" s="261">
        <f t="shared" si="18"/>
        <v>0</v>
      </c>
    </row>
    <row r="226" spans="1:14" s="51" customFormat="1" ht="49.5" customHeight="1" x14ac:dyDescent="0.3">
      <c r="A226" s="159" t="s">
        <v>351</v>
      </c>
      <c r="B226" s="159" t="s">
        <v>352</v>
      </c>
      <c r="C226" s="159" t="s">
        <v>353</v>
      </c>
      <c r="D226" s="236" t="s">
        <v>354</v>
      </c>
      <c r="E226" s="236"/>
      <c r="F226" s="236" t="s">
        <v>355</v>
      </c>
      <c r="G226" s="261">
        <v>59.2</v>
      </c>
      <c r="H226" s="261">
        <v>29.2</v>
      </c>
      <c r="I226" s="261">
        <v>20</v>
      </c>
      <c r="J226" s="261"/>
      <c r="K226" s="261"/>
      <c r="L226" s="261"/>
      <c r="M226" s="261"/>
      <c r="N226" s="261"/>
    </row>
    <row r="227" spans="1:14" s="51" customFormat="1" ht="49.5" customHeight="1" x14ac:dyDescent="0.3">
      <c r="A227" s="159" t="s">
        <v>351</v>
      </c>
      <c r="B227" s="159" t="s">
        <v>352</v>
      </c>
      <c r="C227" s="159" t="s">
        <v>353</v>
      </c>
      <c r="D227" s="236" t="s">
        <v>354</v>
      </c>
      <c r="E227" s="236"/>
      <c r="F227" s="236" t="s">
        <v>458</v>
      </c>
      <c r="G227" s="261">
        <v>0.8</v>
      </c>
      <c r="H227" s="261">
        <v>0.8</v>
      </c>
      <c r="I227" s="261">
        <v>0.8</v>
      </c>
      <c r="J227" s="261"/>
      <c r="K227" s="261"/>
      <c r="L227" s="261"/>
      <c r="M227" s="261"/>
      <c r="N227" s="261"/>
    </row>
    <row r="228" spans="1:14" s="51" customFormat="1" ht="60.75" customHeight="1" x14ac:dyDescent="0.3">
      <c r="A228" s="159" t="s">
        <v>356</v>
      </c>
      <c r="B228" s="159" t="s">
        <v>29</v>
      </c>
      <c r="C228" s="159" t="s">
        <v>30</v>
      </c>
      <c r="D228" s="237" t="s">
        <v>27</v>
      </c>
      <c r="E228" s="236"/>
      <c r="F228" s="236" t="s">
        <v>357</v>
      </c>
      <c r="G228" s="261"/>
      <c r="H228" s="261"/>
      <c r="I228" s="261"/>
      <c r="J228" s="261"/>
      <c r="K228" s="261">
        <v>203.6</v>
      </c>
      <c r="L228" s="261">
        <v>203.6</v>
      </c>
      <c r="M228" s="261">
        <v>42.807600000000001</v>
      </c>
      <c r="N228" s="261">
        <v>0</v>
      </c>
    </row>
    <row r="229" spans="1:14" s="19" customFormat="1" ht="36" customHeight="1" x14ac:dyDescent="0.25">
      <c r="A229" s="48"/>
      <c r="B229" s="78"/>
      <c r="C229" s="78"/>
      <c r="D229" s="198" t="s">
        <v>50</v>
      </c>
      <c r="E229" s="205"/>
      <c r="F229" s="198"/>
      <c r="G229" s="262">
        <f>G222+G225</f>
        <v>273.89999999999998</v>
      </c>
      <c r="H229" s="262">
        <f>H222+H225</f>
        <v>234.4</v>
      </c>
      <c r="I229" s="262">
        <f>I222+I225</f>
        <v>220.87300000000002</v>
      </c>
      <c r="J229" s="262">
        <f t="shared" ref="J229:N229" si="19">J222+J225</f>
        <v>93.535764375876596</v>
      </c>
      <c r="K229" s="262">
        <f>K222+K225</f>
        <v>298</v>
      </c>
      <c r="L229" s="262">
        <f t="shared" si="19"/>
        <v>298</v>
      </c>
      <c r="M229" s="262">
        <f t="shared" si="19"/>
        <v>137.20760000000001</v>
      </c>
      <c r="N229" s="262">
        <f t="shared" si="19"/>
        <v>100</v>
      </c>
    </row>
    <row r="230" spans="1:14" s="51" customFormat="1" ht="43.5" hidden="1" customHeight="1" x14ac:dyDescent="0.25">
      <c r="A230" s="169">
        <v>7500000</v>
      </c>
      <c r="B230" s="176"/>
      <c r="C230" s="176"/>
      <c r="D230" s="181" t="s">
        <v>246</v>
      </c>
      <c r="E230" s="184"/>
      <c r="F230" s="173"/>
      <c r="G230" s="265"/>
      <c r="H230" s="265"/>
      <c r="I230" s="265"/>
      <c r="J230" s="265"/>
      <c r="K230" s="265"/>
      <c r="L230" s="265"/>
      <c r="M230" s="265"/>
      <c r="N230" s="265"/>
    </row>
    <row r="231" spans="1:14" s="51" customFormat="1" ht="45.75" hidden="1" customHeight="1" x14ac:dyDescent="0.25">
      <c r="A231" s="187">
        <v>7510000</v>
      </c>
      <c r="B231" s="176"/>
      <c r="C231" s="176"/>
      <c r="D231" s="183" t="s">
        <v>246</v>
      </c>
      <c r="E231" s="184"/>
      <c r="F231" s="173"/>
      <c r="G231" s="265"/>
      <c r="H231" s="265"/>
      <c r="I231" s="265"/>
      <c r="J231" s="265"/>
      <c r="K231" s="265"/>
      <c r="L231" s="265"/>
      <c r="M231" s="265"/>
      <c r="N231" s="265"/>
    </row>
    <row r="232" spans="1:14" s="51" customFormat="1" ht="21.75" customHeight="1" x14ac:dyDescent="0.25">
      <c r="A232" s="49" t="s">
        <v>247</v>
      </c>
      <c r="B232" s="49" t="s">
        <v>26</v>
      </c>
      <c r="C232" s="49" t="s">
        <v>30</v>
      </c>
      <c r="D232" s="28" t="s">
        <v>27</v>
      </c>
      <c r="E232" s="47"/>
      <c r="F232" s="13"/>
      <c r="G232" s="261">
        <f>G233</f>
        <v>1178.9749999999999</v>
      </c>
      <c r="H232" s="261">
        <f>H233</f>
        <v>850</v>
      </c>
      <c r="I232" s="261">
        <f>I233</f>
        <v>0</v>
      </c>
      <c r="J232" s="261">
        <f>I232/G232*100</f>
        <v>0</v>
      </c>
      <c r="K232" s="261">
        <f>K233</f>
        <v>0</v>
      </c>
      <c r="L232" s="261"/>
      <c r="M232" s="261"/>
      <c r="N232" s="261"/>
    </row>
    <row r="233" spans="1:14" s="51" customFormat="1" ht="74.25" customHeight="1" x14ac:dyDescent="0.25">
      <c r="A233" s="42">
        <v>7518601</v>
      </c>
      <c r="B233" s="21" t="s">
        <v>29</v>
      </c>
      <c r="C233" s="21" t="s">
        <v>30</v>
      </c>
      <c r="D233" s="28" t="s">
        <v>27</v>
      </c>
      <c r="E233" s="28"/>
      <c r="F233" s="20" t="s">
        <v>273</v>
      </c>
      <c r="G233" s="260">
        <v>1178.9749999999999</v>
      </c>
      <c r="H233" s="260">
        <v>850</v>
      </c>
      <c r="I233" s="260">
        <v>0</v>
      </c>
      <c r="J233" s="260">
        <f>I233/G233*100</f>
        <v>0</v>
      </c>
      <c r="K233" s="260"/>
      <c r="L233" s="260"/>
      <c r="M233" s="260"/>
      <c r="N233" s="260"/>
    </row>
    <row r="234" spans="1:14" s="19" customFormat="1" ht="27.75" customHeight="1" x14ac:dyDescent="0.25">
      <c r="A234" s="49"/>
      <c r="B234" s="49"/>
      <c r="C234" s="49"/>
      <c r="D234" s="219" t="s">
        <v>50</v>
      </c>
      <c r="E234" s="219"/>
      <c r="F234" s="219"/>
      <c r="G234" s="259">
        <f>G232</f>
        <v>1178.9749999999999</v>
      </c>
      <c r="H234" s="259">
        <f>H232</f>
        <v>850</v>
      </c>
      <c r="I234" s="259">
        <f>I232</f>
        <v>0</v>
      </c>
      <c r="J234" s="259">
        <f>I234/G234*100</f>
        <v>0</v>
      </c>
      <c r="K234" s="259">
        <f>K232</f>
        <v>0</v>
      </c>
      <c r="L234" s="259">
        <f>L232</f>
        <v>0</v>
      </c>
      <c r="M234" s="259">
        <f>M232</f>
        <v>0</v>
      </c>
      <c r="N234" s="259"/>
    </row>
    <row r="235" spans="1:14" s="51" customFormat="1" ht="21.6" customHeight="1" x14ac:dyDescent="0.25">
      <c r="A235" s="92"/>
      <c r="B235" s="93"/>
      <c r="C235" s="93"/>
      <c r="D235" s="217" t="s">
        <v>248</v>
      </c>
      <c r="E235" s="217"/>
      <c r="F235" s="218"/>
      <c r="G235" s="276">
        <f>G23+G39+G81+G86+G106+G207+G219+G229+G234+G26</f>
        <v>39500.127999999997</v>
      </c>
      <c r="H235" s="276">
        <f>H23+H39+H81+H86+H106+H207+H219+H229+H234+H26</f>
        <v>26623.270000000008</v>
      </c>
      <c r="I235" s="276">
        <f>I23+I39+I81+I86+I106+I207+I219+I229+I234+I26</f>
        <v>20352.563999999998</v>
      </c>
      <c r="J235" s="276">
        <f>I235/G235*100</f>
        <v>51.525311512914598</v>
      </c>
      <c r="K235" s="276">
        <f>K23+K39+K81+K86+K106+K207+K219+K229+K234+K26</f>
        <v>41144.938000000002</v>
      </c>
      <c r="L235" s="276">
        <f>L23+L39+L81+L86+L106+L207+L219+L229+L234+L26</f>
        <v>25801.737999999994</v>
      </c>
      <c r="M235" s="276">
        <f>M23+M39+M81+M86+M106+M207+M219+M229+M234+M26</f>
        <v>10229.395270000001</v>
      </c>
      <c r="N235" s="276">
        <f>M235/K235*100</f>
        <v>24.861856080570593</v>
      </c>
    </row>
  </sheetData>
  <mergeCells count="9">
    <mergeCell ref="B6:N6"/>
    <mergeCell ref="B1:N1"/>
    <mergeCell ref="A4:A5"/>
    <mergeCell ref="B4:B5"/>
    <mergeCell ref="C4:C5"/>
    <mergeCell ref="D4:E5"/>
    <mergeCell ref="F4:F5"/>
    <mergeCell ref="G4:I4"/>
    <mergeCell ref="K4:N4"/>
  </mergeCells>
  <hyperlinks>
    <hyperlink ref="F20" r:id="rId1" display="http://akts.yu.mk.ua/showdoc/4829/"/>
  </hyperlinks>
  <pageMargins left="0.70866141732283472" right="0.70866141732283472" top="0.74803149606299213" bottom="0.74803149606299213" header="0.31496062992125984" footer="0.31496062992125984"/>
  <pageSetup paperSize="9" scale="48" fitToHeight="14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view="pageBreakPreview" zoomScale="75" zoomScaleNormal="68" zoomScaleSheetLayoutView="75" workbookViewId="0">
      <pane ySplit="5" topLeftCell="A6" activePane="bottomLeft" state="frozen"/>
      <selection activeCell="B1" sqref="B1"/>
      <selection pane="bottomLeft" activeCell="F180" sqref="F180"/>
    </sheetView>
  </sheetViews>
  <sheetFormatPr defaultColWidth="8.7109375" defaultRowHeight="12.75" x14ac:dyDescent="0.2"/>
  <cols>
    <col min="1" max="1" width="13" style="1" customWidth="1"/>
    <col min="2" max="2" width="12.140625" style="2" customWidth="1"/>
    <col min="3" max="3" width="11.28515625" style="2" customWidth="1"/>
    <col min="4" max="4" width="37.140625" style="1" customWidth="1"/>
    <col min="5" max="5" width="2.140625" style="1" hidden="1" customWidth="1"/>
    <col min="6" max="6" width="58.7109375" style="1" customWidth="1"/>
    <col min="7" max="10" width="16.7109375" style="1" customWidth="1"/>
    <col min="11" max="11" width="18.140625" style="1" customWidth="1"/>
    <col min="12" max="14" width="16.7109375" style="1" customWidth="1"/>
    <col min="15" max="192" width="8.7109375" style="1"/>
    <col min="193" max="193" width="13" style="1" customWidth="1"/>
    <col min="194" max="194" width="12.140625" style="1" customWidth="1"/>
    <col min="195" max="195" width="11.28515625" style="1" customWidth="1"/>
    <col min="196" max="196" width="37.140625" style="1" customWidth="1"/>
    <col min="197" max="197" width="0" style="1" hidden="1" customWidth="1"/>
    <col min="198" max="198" width="58.7109375" style="1" customWidth="1"/>
    <col min="199" max="201" width="16.7109375" style="1" customWidth="1"/>
    <col min="202" max="202" width="53.28515625" style="1" customWidth="1"/>
    <col min="203" max="203" width="15.42578125" style="1" customWidth="1"/>
    <col min="204" max="448" width="8.7109375" style="1"/>
    <col min="449" max="449" width="13" style="1" customWidth="1"/>
    <col min="450" max="450" width="12.140625" style="1" customWidth="1"/>
    <col min="451" max="451" width="11.28515625" style="1" customWidth="1"/>
    <col min="452" max="452" width="37.140625" style="1" customWidth="1"/>
    <col min="453" max="453" width="0" style="1" hidden="1" customWidth="1"/>
    <col min="454" max="454" width="58.7109375" style="1" customWidth="1"/>
    <col min="455" max="457" width="16.7109375" style="1" customWidth="1"/>
    <col min="458" max="458" width="53.28515625" style="1" customWidth="1"/>
    <col min="459" max="459" width="15.42578125" style="1" customWidth="1"/>
    <col min="460" max="16384" width="8.7109375" style="1"/>
  </cols>
  <sheetData>
    <row r="1" spans="1:14" s="4" customFormat="1" ht="20.25" x14ac:dyDescent="0.25">
      <c r="B1" s="479" t="s">
        <v>466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</row>
    <row r="2" spans="1:14" s="4" customFormat="1" ht="21" customHeight="1" x14ac:dyDescent="0.25"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ht="23.25" hidden="1" customHeight="1" x14ac:dyDescent="0.3">
      <c r="M3" s="3" t="s">
        <v>0</v>
      </c>
    </row>
    <row r="4" spans="1:14" s="222" customFormat="1" ht="45" customHeight="1" x14ac:dyDescent="0.25">
      <c r="A4" s="481" t="s">
        <v>1</v>
      </c>
      <c r="B4" s="482" t="s">
        <v>2</v>
      </c>
      <c r="C4" s="482" t="s">
        <v>3</v>
      </c>
      <c r="D4" s="483" t="s">
        <v>4</v>
      </c>
      <c r="E4" s="483"/>
      <c r="F4" s="483" t="s">
        <v>283</v>
      </c>
      <c r="G4" s="483" t="s">
        <v>5</v>
      </c>
      <c r="H4" s="483"/>
      <c r="I4" s="483"/>
      <c r="J4" s="313"/>
      <c r="K4" s="483" t="s">
        <v>6</v>
      </c>
      <c r="L4" s="483"/>
      <c r="M4" s="483"/>
      <c r="N4" s="483"/>
    </row>
    <row r="5" spans="1:14" s="222" customFormat="1" ht="69" customHeight="1" x14ac:dyDescent="0.25">
      <c r="A5" s="481"/>
      <c r="B5" s="482"/>
      <c r="C5" s="482"/>
      <c r="D5" s="483"/>
      <c r="E5" s="483"/>
      <c r="F5" s="483"/>
      <c r="G5" s="313" t="s">
        <v>284</v>
      </c>
      <c r="H5" s="313" t="s">
        <v>285</v>
      </c>
      <c r="I5" s="313" t="s">
        <v>467</v>
      </c>
      <c r="J5" s="313" t="s">
        <v>286</v>
      </c>
      <c r="K5" s="313" t="s">
        <v>284</v>
      </c>
      <c r="L5" s="313" t="s">
        <v>285</v>
      </c>
      <c r="M5" s="313" t="s">
        <v>467</v>
      </c>
      <c r="N5" s="313" t="s">
        <v>286</v>
      </c>
    </row>
    <row r="6" spans="1:14" s="8" customFormat="1" ht="19.5" customHeight="1" x14ac:dyDescent="0.25">
      <c r="A6" s="7"/>
      <c r="B6" s="480" t="s">
        <v>7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</row>
    <row r="7" spans="1:14" s="10" customFormat="1" ht="42" customHeight="1" x14ac:dyDescent="0.25">
      <c r="A7" s="161" t="s">
        <v>8</v>
      </c>
      <c r="B7" s="162"/>
      <c r="C7" s="162"/>
      <c r="D7" s="163" t="s">
        <v>9</v>
      </c>
      <c r="E7" s="164"/>
      <c r="F7" s="165"/>
      <c r="G7" s="255"/>
      <c r="H7" s="255"/>
      <c r="I7" s="255"/>
      <c r="J7" s="255"/>
      <c r="K7" s="256"/>
      <c r="L7" s="256"/>
      <c r="M7" s="256"/>
      <c r="N7" s="256"/>
    </row>
    <row r="8" spans="1:14" s="10" customFormat="1" ht="38.25" customHeight="1" x14ac:dyDescent="0.25">
      <c r="A8" s="193" t="s">
        <v>10</v>
      </c>
      <c r="B8" s="194"/>
      <c r="C8" s="194"/>
      <c r="D8" s="156" t="s">
        <v>9</v>
      </c>
      <c r="E8" s="195"/>
      <c r="F8" s="9"/>
      <c r="G8" s="257"/>
      <c r="H8" s="257"/>
      <c r="I8" s="257"/>
      <c r="J8" s="257"/>
      <c r="K8" s="258"/>
      <c r="L8" s="258"/>
      <c r="M8" s="258"/>
      <c r="N8" s="258"/>
    </row>
    <row r="9" spans="1:14" s="15" customFormat="1" ht="83.45" customHeight="1" x14ac:dyDescent="0.25">
      <c r="A9" s="11"/>
      <c r="B9" s="11"/>
      <c r="C9" s="11"/>
      <c r="D9" s="12"/>
      <c r="E9" s="12"/>
      <c r="F9" s="219" t="s">
        <v>11</v>
      </c>
      <c r="G9" s="259">
        <f>G10+G11</f>
        <v>60.9</v>
      </c>
      <c r="H9" s="259">
        <f>H10+H11</f>
        <v>54.5</v>
      </c>
      <c r="I9" s="259">
        <f>I10+I11</f>
        <v>47.503230000000002</v>
      </c>
      <c r="J9" s="259">
        <f>I9/G9*100</f>
        <v>78.002019704433508</v>
      </c>
      <c r="K9" s="259">
        <f>K10+K11</f>
        <v>0</v>
      </c>
      <c r="L9" s="259">
        <f>L10+L11</f>
        <v>0</v>
      </c>
      <c r="M9" s="259">
        <f>M10+M11</f>
        <v>0</v>
      </c>
      <c r="N9" s="259"/>
    </row>
    <row r="10" spans="1:14" s="19" customFormat="1" ht="84" customHeight="1" x14ac:dyDescent="0.25">
      <c r="A10" s="11" t="s">
        <v>12</v>
      </c>
      <c r="B10" s="11" t="s">
        <v>13</v>
      </c>
      <c r="C10" s="11" t="s">
        <v>14</v>
      </c>
      <c r="D10" s="16" t="s">
        <v>15</v>
      </c>
      <c r="E10" s="17"/>
      <c r="F10" s="18" t="s">
        <v>16</v>
      </c>
      <c r="G10" s="260">
        <v>17</v>
      </c>
      <c r="H10" s="260">
        <v>10.6</v>
      </c>
      <c r="I10" s="260">
        <v>3.5882299999999998</v>
      </c>
      <c r="J10" s="260"/>
      <c r="K10" s="260"/>
      <c r="L10" s="260"/>
      <c r="M10" s="260"/>
      <c r="N10" s="260"/>
    </row>
    <row r="11" spans="1:14" s="19" customFormat="1" ht="36" customHeight="1" x14ac:dyDescent="0.25">
      <c r="A11" s="11" t="s">
        <v>17</v>
      </c>
      <c r="B11" s="11" t="s">
        <v>18</v>
      </c>
      <c r="C11" s="11" t="s">
        <v>19</v>
      </c>
      <c r="D11" s="20" t="s">
        <v>20</v>
      </c>
      <c r="E11" s="17"/>
      <c r="F11" s="18"/>
      <c r="G11" s="260">
        <f>G12</f>
        <v>43.9</v>
      </c>
      <c r="H11" s="260">
        <f>H12</f>
        <v>43.9</v>
      </c>
      <c r="I11" s="260">
        <f t="shared" ref="I11" si="0">I12</f>
        <v>43.914999999999999</v>
      </c>
      <c r="J11" s="260"/>
      <c r="K11" s="260">
        <f>K12</f>
        <v>0</v>
      </c>
      <c r="L11" s="260"/>
      <c r="M11" s="260"/>
      <c r="N11" s="260"/>
    </row>
    <row r="12" spans="1:14" s="19" customFormat="1" ht="102.75" customHeight="1" x14ac:dyDescent="0.25">
      <c r="A12" s="21" t="s">
        <v>21</v>
      </c>
      <c r="B12" s="21" t="s">
        <v>22</v>
      </c>
      <c r="C12" s="21" t="s">
        <v>19</v>
      </c>
      <c r="D12" s="16" t="s">
        <v>23</v>
      </c>
      <c r="E12" s="17"/>
      <c r="F12" s="17" t="s">
        <v>24</v>
      </c>
      <c r="G12" s="260">
        <v>43.9</v>
      </c>
      <c r="H12" s="260">
        <v>43.9</v>
      </c>
      <c r="I12" s="260">
        <v>43.914999999999999</v>
      </c>
      <c r="J12" s="260"/>
      <c r="K12" s="260"/>
      <c r="L12" s="260"/>
      <c r="M12" s="260"/>
      <c r="N12" s="260"/>
    </row>
    <row r="13" spans="1:14" s="19" customFormat="1" ht="24" customHeight="1" x14ac:dyDescent="0.25">
      <c r="A13" s="11" t="s">
        <v>25</v>
      </c>
      <c r="B13" s="11" t="s">
        <v>26</v>
      </c>
      <c r="C13" s="11" t="s">
        <v>13</v>
      </c>
      <c r="D13" s="17" t="s">
        <v>27</v>
      </c>
      <c r="E13" s="17"/>
      <c r="F13" s="220"/>
      <c r="G13" s="259">
        <f>G14+G20</f>
        <v>138.94499999999999</v>
      </c>
      <c r="H13" s="259">
        <f>H14+H20</f>
        <v>111.8</v>
      </c>
      <c r="I13" s="259">
        <f>I14+I20</f>
        <v>87</v>
      </c>
      <c r="J13" s="259">
        <f>I13/G13*100</f>
        <v>62.614703659721471</v>
      </c>
      <c r="K13" s="259">
        <f>K14+K20</f>
        <v>0</v>
      </c>
      <c r="L13" s="259">
        <f>L14+L20</f>
        <v>0</v>
      </c>
      <c r="M13" s="259">
        <f>M14+M20</f>
        <v>0</v>
      </c>
      <c r="N13" s="259"/>
    </row>
    <row r="14" spans="1:14" s="19" customFormat="1" ht="85.5" customHeight="1" x14ac:dyDescent="0.25">
      <c r="A14" s="154" t="s">
        <v>28</v>
      </c>
      <c r="B14" s="21" t="s">
        <v>29</v>
      </c>
      <c r="C14" s="21" t="s">
        <v>30</v>
      </c>
      <c r="D14" s="17" t="s">
        <v>27</v>
      </c>
      <c r="E14" s="17"/>
      <c r="F14" s="22" t="s">
        <v>31</v>
      </c>
      <c r="G14" s="261">
        <f>G15+G16+G17+G18+G19</f>
        <v>123.94499999999999</v>
      </c>
      <c r="H14" s="261">
        <f>H15+H16+H17+H18+H19</f>
        <v>96.8</v>
      </c>
      <c r="I14" s="261">
        <f>I15+I16+I17+I18+I19</f>
        <v>72.2</v>
      </c>
      <c r="J14" s="261"/>
      <c r="K14" s="261">
        <v>0</v>
      </c>
      <c r="L14" s="261"/>
      <c r="M14" s="261"/>
      <c r="N14" s="261"/>
    </row>
    <row r="15" spans="1:14" s="19" customFormat="1" ht="27.75" customHeight="1" x14ac:dyDescent="0.25">
      <c r="A15" s="154"/>
      <c r="B15" s="21"/>
      <c r="C15" s="21"/>
      <c r="D15" s="17"/>
      <c r="E15" s="17"/>
      <c r="F15" s="17" t="s">
        <v>296</v>
      </c>
      <c r="G15" s="261">
        <v>41.945</v>
      </c>
      <c r="H15" s="261">
        <v>34.799999999999997</v>
      </c>
      <c r="I15" s="261">
        <v>32.700000000000003</v>
      </c>
      <c r="J15" s="261"/>
      <c r="K15" s="261"/>
      <c r="L15" s="261"/>
      <c r="M15" s="261"/>
      <c r="N15" s="261"/>
    </row>
    <row r="16" spans="1:14" s="19" customFormat="1" ht="36" customHeight="1" x14ac:dyDescent="0.25">
      <c r="A16" s="154"/>
      <c r="B16" s="21"/>
      <c r="C16" s="21"/>
      <c r="D16" s="17"/>
      <c r="E16" s="17"/>
      <c r="F16" s="17" t="s">
        <v>297</v>
      </c>
      <c r="G16" s="261">
        <v>24.2</v>
      </c>
      <c r="H16" s="261">
        <v>24.2</v>
      </c>
      <c r="I16" s="261">
        <v>2</v>
      </c>
      <c r="J16" s="261"/>
      <c r="K16" s="261"/>
      <c r="L16" s="261"/>
      <c r="M16" s="261"/>
      <c r="N16" s="261"/>
    </row>
    <row r="17" spans="1:14" s="19" customFormat="1" ht="25.5" customHeight="1" x14ac:dyDescent="0.25">
      <c r="A17" s="154"/>
      <c r="B17" s="21"/>
      <c r="C17" s="21"/>
      <c r="D17" s="17"/>
      <c r="E17" s="17"/>
      <c r="F17" s="17" t="s">
        <v>298</v>
      </c>
      <c r="G17" s="261">
        <v>15</v>
      </c>
      <c r="H17" s="261">
        <v>15</v>
      </c>
      <c r="I17" s="261">
        <v>14.7</v>
      </c>
      <c r="J17" s="261"/>
      <c r="K17" s="261"/>
      <c r="L17" s="261"/>
      <c r="M17" s="261"/>
      <c r="N17" s="261"/>
    </row>
    <row r="18" spans="1:14" s="19" customFormat="1" ht="28.5" customHeight="1" x14ac:dyDescent="0.25">
      <c r="A18" s="154"/>
      <c r="B18" s="21"/>
      <c r="C18" s="21"/>
      <c r="D18" s="17"/>
      <c r="E18" s="17"/>
      <c r="F18" s="17" t="s">
        <v>299</v>
      </c>
      <c r="G18" s="260">
        <v>22.8</v>
      </c>
      <c r="H18" s="260">
        <v>22.8</v>
      </c>
      <c r="I18" s="260">
        <v>22.8</v>
      </c>
      <c r="J18" s="261"/>
      <c r="K18" s="261"/>
      <c r="L18" s="261"/>
      <c r="M18" s="261"/>
      <c r="N18" s="261"/>
    </row>
    <row r="19" spans="1:14" s="19" customFormat="1" ht="42" customHeight="1" x14ac:dyDescent="0.25">
      <c r="A19" s="154"/>
      <c r="B19" s="21"/>
      <c r="C19" s="21"/>
      <c r="D19" s="17"/>
      <c r="E19" s="17"/>
      <c r="F19" s="17" t="s">
        <v>446</v>
      </c>
      <c r="G19" s="260">
        <v>20</v>
      </c>
      <c r="H19" s="260">
        <v>0</v>
      </c>
      <c r="I19" s="260">
        <v>0</v>
      </c>
      <c r="J19" s="261"/>
      <c r="K19" s="261"/>
      <c r="L19" s="261"/>
      <c r="M19" s="261"/>
      <c r="N19" s="261"/>
    </row>
    <row r="20" spans="1:14" s="19" customFormat="1" ht="71.25" customHeight="1" x14ac:dyDescent="0.25">
      <c r="A20" s="11" t="s">
        <v>32</v>
      </c>
      <c r="B20" s="21" t="s">
        <v>33</v>
      </c>
      <c r="C20" s="21" t="s">
        <v>30</v>
      </c>
      <c r="D20" s="17" t="s">
        <v>27</v>
      </c>
      <c r="E20" s="17"/>
      <c r="F20" s="23" t="s">
        <v>425</v>
      </c>
      <c r="G20" s="261">
        <f>5+10</f>
        <v>15</v>
      </c>
      <c r="H20" s="261">
        <v>15</v>
      </c>
      <c r="I20" s="261">
        <v>14.8</v>
      </c>
      <c r="J20" s="261">
        <f>I20/G20*100</f>
        <v>98.666666666666671</v>
      </c>
      <c r="K20" s="261">
        <v>0</v>
      </c>
      <c r="L20" s="261"/>
      <c r="M20" s="261"/>
      <c r="N20" s="261"/>
    </row>
    <row r="21" spans="1:14" s="19" customFormat="1" ht="7.5" hidden="1" customHeight="1" x14ac:dyDescent="0.25">
      <c r="A21" s="24"/>
      <c r="B21" s="24"/>
      <c r="C21" s="24"/>
      <c r="D21" s="25"/>
      <c r="E21" s="25"/>
      <c r="F21" s="26"/>
      <c r="G21" s="260"/>
      <c r="H21" s="260"/>
      <c r="I21" s="260"/>
      <c r="J21" s="260"/>
      <c r="K21" s="260"/>
      <c r="L21" s="260"/>
      <c r="M21" s="260"/>
      <c r="N21" s="260"/>
    </row>
    <row r="22" spans="1:14" s="19" customFormat="1" ht="87.75" customHeight="1" x14ac:dyDescent="0.25">
      <c r="A22" s="21" t="s">
        <v>35</v>
      </c>
      <c r="B22" s="21" t="s">
        <v>36</v>
      </c>
      <c r="C22" s="21" t="s">
        <v>37</v>
      </c>
      <c r="D22" s="16" t="s">
        <v>197</v>
      </c>
      <c r="E22" s="28"/>
      <c r="F22" s="20" t="s">
        <v>38</v>
      </c>
      <c r="G22" s="260"/>
      <c r="H22" s="260"/>
      <c r="I22" s="260"/>
      <c r="J22" s="260"/>
      <c r="K22" s="261">
        <v>112</v>
      </c>
      <c r="L22" s="261">
        <f>24+88</f>
        <v>112</v>
      </c>
      <c r="M22" s="261">
        <f>12.2688</f>
        <v>12.268800000000001</v>
      </c>
      <c r="N22" s="261">
        <f>M22/K22*100</f>
        <v>10.954285714285716</v>
      </c>
    </row>
    <row r="23" spans="1:14" s="32" customFormat="1" ht="21" customHeight="1" x14ac:dyDescent="0.25">
      <c r="A23" s="29"/>
      <c r="B23" s="30"/>
      <c r="C23" s="30"/>
      <c r="D23" s="197" t="s">
        <v>39</v>
      </c>
      <c r="E23" s="197"/>
      <c r="F23" s="198"/>
      <c r="G23" s="262">
        <f>G13+G9+G22</f>
        <v>199.845</v>
      </c>
      <c r="H23" s="262">
        <f>H13+H9+H22</f>
        <v>166.3</v>
      </c>
      <c r="I23" s="262">
        <f>I13+I9+I22</f>
        <v>134.50323</v>
      </c>
      <c r="J23" s="262">
        <f>I23/G23*100</f>
        <v>67.303775425955109</v>
      </c>
      <c r="K23" s="262">
        <f>K13+K9+K22</f>
        <v>112</v>
      </c>
      <c r="L23" s="262">
        <f>L13+L9+L22</f>
        <v>112</v>
      </c>
      <c r="M23" s="262">
        <f>M13+M9+M22</f>
        <v>12.268800000000001</v>
      </c>
      <c r="N23" s="259">
        <f>M23/K23*100</f>
        <v>10.954285714285716</v>
      </c>
    </row>
    <row r="24" spans="1:14" s="37" customFormat="1" ht="39.75" customHeight="1" x14ac:dyDescent="0.2">
      <c r="A24" s="166" t="s">
        <v>40</v>
      </c>
      <c r="B24" s="167"/>
      <c r="C24" s="167"/>
      <c r="D24" s="163" t="s">
        <v>41</v>
      </c>
      <c r="E24" s="168"/>
      <c r="F24" s="168"/>
      <c r="G24" s="263"/>
      <c r="H24" s="263"/>
      <c r="I24" s="263"/>
      <c r="J24" s="263"/>
      <c r="K24" s="263"/>
      <c r="L24" s="263"/>
      <c r="M24" s="263"/>
      <c r="N24" s="263"/>
    </row>
    <row r="25" spans="1:14" s="39" customFormat="1" ht="46.5" customHeight="1" x14ac:dyDescent="0.2">
      <c r="A25" s="33" t="s">
        <v>42</v>
      </c>
      <c r="B25" s="34"/>
      <c r="C25" s="34"/>
      <c r="D25" s="156" t="s">
        <v>41</v>
      </c>
      <c r="E25" s="35"/>
      <c r="F25" s="35"/>
      <c r="G25" s="264"/>
      <c r="H25" s="264"/>
      <c r="I25" s="264"/>
      <c r="J25" s="264"/>
      <c r="K25" s="264"/>
      <c r="L25" s="264"/>
      <c r="M25" s="264"/>
      <c r="N25" s="264"/>
    </row>
    <row r="26" spans="1:14" s="39" customFormat="1" ht="30" customHeight="1" x14ac:dyDescent="0.2">
      <c r="A26" s="33" t="s">
        <v>43</v>
      </c>
      <c r="B26" s="34" t="s">
        <v>44</v>
      </c>
      <c r="C26" s="34" t="s">
        <v>45</v>
      </c>
      <c r="D26" s="68" t="s">
        <v>46</v>
      </c>
      <c r="E26" s="35"/>
      <c r="F26" s="206" t="s">
        <v>39</v>
      </c>
      <c r="G26" s="262">
        <f>G28+G27+G34</f>
        <v>250.4</v>
      </c>
      <c r="H26" s="262">
        <f>H28+H27+H34</f>
        <v>206.4</v>
      </c>
      <c r="I26" s="262">
        <f>I28+I27+I34</f>
        <v>149.19999999999999</v>
      </c>
      <c r="J26" s="262">
        <f>I26/G26*100</f>
        <v>59.584664536741208</v>
      </c>
      <c r="K26" s="262">
        <f>K34</f>
        <v>40</v>
      </c>
      <c r="L26" s="262">
        <f>L34</f>
        <v>40</v>
      </c>
      <c r="M26" s="262">
        <f>M34</f>
        <v>40</v>
      </c>
      <c r="N26" s="262"/>
    </row>
    <row r="27" spans="1:14" s="39" customFormat="1" ht="112.5" x14ac:dyDescent="0.2">
      <c r="A27" s="33"/>
      <c r="B27" s="34" t="s">
        <v>98</v>
      </c>
      <c r="C27" s="34"/>
      <c r="D27" s="45" t="s">
        <v>100</v>
      </c>
      <c r="E27" s="35"/>
      <c r="F27" s="254" t="s">
        <v>371</v>
      </c>
      <c r="G27" s="264">
        <v>37.5</v>
      </c>
      <c r="H27" s="264">
        <v>37.5</v>
      </c>
      <c r="I27" s="264">
        <v>35.5</v>
      </c>
      <c r="J27" s="264">
        <f t="shared" ref="J27:J28" si="1">I27/G27*100</f>
        <v>94.666666666666671</v>
      </c>
      <c r="K27" s="264"/>
      <c r="L27" s="264"/>
      <c r="M27" s="264"/>
      <c r="N27" s="264"/>
    </row>
    <row r="28" spans="1:14" s="15" customFormat="1" ht="55.5" customHeight="1" x14ac:dyDescent="0.25">
      <c r="A28" s="29"/>
      <c r="B28" s="21" t="s">
        <v>47</v>
      </c>
      <c r="C28" s="21" t="s">
        <v>45</v>
      </c>
      <c r="D28" s="40" t="s">
        <v>46</v>
      </c>
      <c r="E28" s="41"/>
      <c r="F28" s="13" t="s">
        <v>48</v>
      </c>
      <c r="G28" s="261">
        <f>G29+G30+G31+G32+G33</f>
        <v>172</v>
      </c>
      <c r="H28" s="261">
        <f>H29+H30+H31+H32+H33</f>
        <v>128</v>
      </c>
      <c r="I28" s="261">
        <f>I29+I30+I31+I32+I33</f>
        <v>72.8</v>
      </c>
      <c r="J28" s="264">
        <f t="shared" si="1"/>
        <v>42.325581395348841</v>
      </c>
      <c r="K28" s="261">
        <f>K29+K30+K32+K33</f>
        <v>0</v>
      </c>
      <c r="L28" s="261"/>
      <c r="M28" s="261"/>
      <c r="N28" s="261"/>
    </row>
    <row r="29" spans="1:14" s="15" customFormat="1" ht="27.75" customHeight="1" x14ac:dyDescent="0.25">
      <c r="A29" s="42"/>
      <c r="B29" s="21"/>
      <c r="C29" s="21"/>
      <c r="D29" s="43"/>
      <c r="E29" s="41"/>
      <c r="F29" s="43" t="s">
        <v>287</v>
      </c>
      <c r="G29" s="260">
        <v>33.799999999999997</v>
      </c>
      <c r="H29" s="260">
        <v>23.8</v>
      </c>
      <c r="I29" s="260">
        <v>16.2</v>
      </c>
      <c r="J29" s="260"/>
      <c r="K29" s="260"/>
      <c r="L29" s="260"/>
      <c r="M29" s="260"/>
      <c r="N29" s="260"/>
    </row>
    <row r="30" spans="1:14" s="46" customFormat="1" ht="69.75" customHeight="1" x14ac:dyDescent="0.25">
      <c r="A30" s="24"/>
      <c r="B30" s="24"/>
      <c r="C30" s="24"/>
      <c r="D30" s="44"/>
      <c r="E30" s="44"/>
      <c r="F30" s="45" t="s">
        <v>49</v>
      </c>
      <c r="G30" s="260">
        <v>72</v>
      </c>
      <c r="H30" s="260">
        <v>58</v>
      </c>
      <c r="I30" s="260">
        <v>45.8</v>
      </c>
      <c r="J30" s="260"/>
      <c r="K30" s="260"/>
      <c r="L30" s="260"/>
      <c r="M30" s="260"/>
      <c r="N30" s="260"/>
    </row>
    <row r="31" spans="1:14" s="46" customFormat="1" ht="20.25" customHeight="1" x14ac:dyDescent="0.25">
      <c r="A31" s="24"/>
      <c r="B31" s="24"/>
      <c r="C31" s="24"/>
      <c r="D31" s="44"/>
      <c r="E31" s="44"/>
      <c r="F31" s="45" t="s">
        <v>288</v>
      </c>
      <c r="G31" s="260">
        <v>15</v>
      </c>
      <c r="H31" s="260">
        <v>15</v>
      </c>
      <c r="I31" s="260">
        <v>0</v>
      </c>
      <c r="J31" s="260"/>
      <c r="K31" s="260"/>
      <c r="L31" s="260"/>
      <c r="M31" s="260"/>
      <c r="N31" s="260"/>
    </row>
    <row r="32" spans="1:14" s="15" customFormat="1" ht="35.25" customHeight="1" x14ac:dyDescent="0.25">
      <c r="A32" s="29"/>
      <c r="B32" s="30"/>
      <c r="C32" s="30"/>
      <c r="D32" s="47"/>
      <c r="E32" s="47"/>
      <c r="F32" s="43" t="s">
        <v>289</v>
      </c>
      <c r="G32" s="260">
        <v>31.2</v>
      </c>
      <c r="H32" s="260">
        <v>11.2</v>
      </c>
      <c r="I32" s="260">
        <v>5.8</v>
      </c>
      <c r="J32" s="260"/>
      <c r="K32" s="261"/>
      <c r="L32" s="261"/>
      <c r="M32" s="261"/>
      <c r="N32" s="261"/>
    </row>
    <row r="33" spans="1:14" s="15" customFormat="1" ht="20.25" customHeight="1" x14ac:dyDescent="0.25">
      <c r="A33" s="48"/>
      <c r="B33" s="49"/>
      <c r="C33" s="49"/>
      <c r="D33" s="47"/>
      <c r="E33" s="47"/>
      <c r="F33" s="43" t="s">
        <v>325</v>
      </c>
      <c r="G33" s="260">
        <v>20</v>
      </c>
      <c r="H33" s="260">
        <v>20</v>
      </c>
      <c r="I33" s="260">
        <v>5</v>
      </c>
      <c r="J33" s="260"/>
      <c r="K33" s="261"/>
      <c r="L33" s="261"/>
      <c r="M33" s="261"/>
      <c r="N33" s="261"/>
    </row>
    <row r="34" spans="1:14" s="15" customFormat="1" ht="176.25" customHeight="1" x14ac:dyDescent="0.25">
      <c r="A34" s="308" t="s">
        <v>463</v>
      </c>
      <c r="B34" s="309" t="s">
        <v>210</v>
      </c>
      <c r="C34" s="34" t="s">
        <v>211</v>
      </c>
      <c r="D34" s="310" t="s">
        <v>464</v>
      </c>
      <c r="E34" s="311"/>
      <c r="F34" s="312" t="s">
        <v>465</v>
      </c>
      <c r="G34" s="261">
        <v>40.9</v>
      </c>
      <c r="H34" s="261">
        <v>40.9</v>
      </c>
      <c r="I34" s="261">
        <v>40.9</v>
      </c>
      <c r="J34" s="261">
        <f>I34/G34*100</f>
        <v>100</v>
      </c>
      <c r="K34" s="261">
        <v>40</v>
      </c>
      <c r="L34" s="261">
        <v>40</v>
      </c>
      <c r="M34" s="261">
        <v>40</v>
      </c>
      <c r="N34" s="261">
        <f>M34/K34*100</f>
        <v>100</v>
      </c>
    </row>
    <row r="35" spans="1:14" s="51" customFormat="1" ht="58.5" customHeight="1" x14ac:dyDescent="0.25">
      <c r="A35" s="169">
        <v>1100000</v>
      </c>
      <c r="B35" s="170"/>
      <c r="C35" s="170"/>
      <c r="D35" s="171" t="s">
        <v>51</v>
      </c>
      <c r="E35" s="172"/>
      <c r="F35" s="173"/>
      <c r="G35" s="265"/>
      <c r="H35" s="265"/>
      <c r="I35" s="265"/>
      <c r="J35" s="265"/>
      <c r="K35" s="266"/>
      <c r="L35" s="266"/>
      <c r="M35" s="266"/>
      <c r="N35" s="266"/>
    </row>
    <row r="36" spans="1:14" s="53" customFormat="1" ht="60.75" customHeight="1" x14ac:dyDescent="0.25">
      <c r="A36" s="169">
        <v>1110000</v>
      </c>
      <c r="B36" s="170"/>
      <c r="C36" s="170"/>
      <c r="D36" s="174" t="s">
        <v>51</v>
      </c>
      <c r="E36" s="172"/>
      <c r="F36" s="173"/>
      <c r="G36" s="265"/>
      <c r="H36" s="265"/>
      <c r="I36" s="265"/>
      <c r="J36" s="265"/>
      <c r="K36" s="266"/>
      <c r="L36" s="266"/>
      <c r="M36" s="266"/>
      <c r="N36" s="266"/>
    </row>
    <row r="37" spans="1:14" s="51" customFormat="1" ht="53.25" customHeight="1" x14ac:dyDescent="0.25">
      <c r="A37" s="48">
        <v>1113132</v>
      </c>
      <c r="B37" s="21" t="s">
        <v>52</v>
      </c>
      <c r="C37" s="21" t="s">
        <v>53</v>
      </c>
      <c r="D37" s="28" t="s">
        <v>54</v>
      </c>
      <c r="E37" s="54"/>
      <c r="F37" s="13" t="s">
        <v>409</v>
      </c>
      <c r="G37" s="261">
        <f>G38</f>
        <v>1.5</v>
      </c>
      <c r="H37" s="261">
        <f>H38</f>
        <v>1.5</v>
      </c>
      <c r="I37" s="261">
        <f>I38</f>
        <v>1.5</v>
      </c>
      <c r="J37" s="261">
        <f>I37/G37*100</f>
        <v>100</v>
      </c>
      <c r="K37" s="261">
        <f>K38</f>
        <v>0</v>
      </c>
      <c r="L37" s="261"/>
      <c r="M37" s="261"/>
      <c r="N37" s="261"/>
    </row>
    <row r="38" spans="1:14" s="51" customFormat="1" ht="32.25" customHeight="1" x14ac:dyDescent="0.25">
      <c r="A38" s="42"/>
      <c r="B38" s="21"/>
      <c r="C38" s="21"/>
      <c r="D38" s="43"/>
      <c r="E38" s="54"/>
      <c r="F38" s="43" t="s">
        <v>411</v>
      </c>
      <c r="G38" s="260">
        <v>1.5</v>
      </c>
      <c r="H38" s="260">
        <v>1.5</v>
      </c>
      <c r="I38" s="260">
        <v>1.5</v>
      </c>
      <c r="J38" s="260"/>
      <c r="K38" s="260"/>
      <c r="L38" s="260"/>
      <c r="M38" s="260"/>
      <c r="N38" s="260"/>
    </row>
    <row r="39" spans="1:14" s="56" customFormat="1" ht="24.75" customHeight="1" x14ac:dyDescent="0.25">
      <c r="A39" s="24"/>
      <c r="B39" s="24"/>
      <c r="C39" s="24"/>
      <c r="D39" s="197" t="s">
        <v>50</v>
      </c>
      <c r="E39" s="199"/>
      <c r="F39" s="200"/>
      <c r="G39" s="262">
        <f>G37</f>
        <v>1.5</v>
      </c>
      <c r="H39" s="262">
        <f>H37</f>
        <v>1.5</v>
      </c>
      <c r="I39" s="262">
        <f t="shared" ref="I39:J39" si="2">I37</f>
        <v>1.5</v>
      </c>
      <c r="J39" s="262">
        <f t="shared" si="2"/>
        <v>100</v>
      </c>
      <c r="K39" s="262">
        <f>K37</f>
        <v>0</v>
      </c>
      <c r="L39" s="262"/>
      <c r="M39" s="262"/>
      <c r="N39" s="262"/>
    </row>
    <row r="40" spans="1:14" s="19" customFormat="1" ht="78" customHeight="1" x14ac:dyDescent="0.25">
      <c r="A40" s="176" t="s">
        <v>57</v>
      </c>
      <c r="B40" s="177"/>
      <c r="C40" s="177"/>
      <c r="D40" s="163" t="s">
        <v>407</v>
      </c>
      <c r="E40" s="178"/>
      <c r="F40" s="179"/>
      <c r="G40" s="267"/>
      <c r="H40" s="267"/>
      <c r="I40" s="267"/>
      <c r="J40" s="267"/>
      <c r="K40" s="267"/>
      <c r="L40" s="267"/>
      <c r="M40" s="267"/>
      <c r="N40" s="267"/>
    </row>
    <row r="41" spans="1:14" s="19" customFormat="1" ht="84.75" customHeight="1" x14ac:dyDescent="0.25">
      <c r="A41" s="176" t="s">
        <v>59</v>
      </c>
      <c r="B41" s="177"/>
      <c r="C41" s="177"/>
      <c r="D41" s="175" t="s">
        <v>407</v>
      </c>
      <c r="E41" s="178"/>
      <c r="F41" s="179"/>
      <c r="G41" s="267"/>
      <c r="H41" s="267"/>
      <c r="I41" s="267"/>
      <c r="J41" s="267"/>
      <c r="K41" s="267"/>
      <c r="L41" s="267"/>
      <c r="M41" s="267"/>
      <c r="N41" s="267"/>
    </row>
    <row r="42" spans="1:14" s="307" customFormat="1" ht="42" customHeight="1" x14ac:dyDescent="0.25">
      <c r="A42" s="303" t="s">
        <v>60</v>
      </c>
      <c r="B42" s="304" t="s">
        <v>61</v>
      </c>
      <c r="C42" s="304"/>
      <c r="D42" s="305" t="s">
        <v>62</v>
      </c>
      <c r="E42" s="203"/>
      <c r="F42" s="306"/>
      <c r="G42" s="268">
        <f>G43+G44+G48+G49+G50+G51</f>
        <v>563.29999999999995</v>
      </c>
      <c r="H42" s="268">
        <f>H43+H44+H48+H49+H50+H51</f>
        <v>544</v>
      </c>
      <c r="I42" s="268">
        <f>I43+I44+I48+I49+I50+I51</f>
        <v>399.9</v>
      </c>
      <c r="J42" s="268">
        <f>I42/G42*100</f>
        <v>70.992366412213741</v>
      </c>
      <c r="K42" s="268">
        <f>K43+K44+K48+K49+K50+K51</f>
        <v>111.6</v>
      </c>
      <c r="L42" s="268">
        <f>L43+L44+L48+L49+L50+L51</f>
        <v>41.6</v>
      </c>
      <c r="M42" s="268">
        <f>M43+M44+M48+M49+M50+M51</f>
        <v>15.6</v>
      </c>
      <c r="N42" s="268">
        <f>M42/K42*100</f>
        <v>13.978494623655916</v>
      </c>
    </row>
    <row r="43" spans="1:14" s="19" customFormat="1" ht="83.25" customHeight="1" x14ac:dyDescent="0.25">
      <c r="A43" s="21" t="s">
        <v>63</v>
      </c>
      <c r="B43" s="21" t="s">
        <v>64</v>
      </c>
      <c r="C43" s="21" t="s">
        <v>65</v>
      </c>
      <c r="D43" s="16" t="s">
        <v>66</v>
      </c>
      <c r="E43" s="57"/>
      <c r="F43" s="59" t="s">
        <v>67</v>
      </c>
      <c r="G43" s="261">
        <v>149.5</v>
      </c>
      <c r="H43" s="261">
        <v>149.5</v>
      </c>
      <c r="I43" s="261">
        <v>103.4</v>
      </c>
      <c r="J43" s="261"/>
      <c r="K43" s="261"/>
      <c r="L43" s="261"/>
      <c r="M43" s="261"/>
      <c r="N43" s="261"/>
    </row>
    <row r="44" spans="1:14" s="19" customFormat="1" ht="40.5" customHeight="1" x14ac:dyDescent="0.25">
      <c r="A44" s="24" t="s">
        <v>68</v>
      </c>
      <c r="B44" s="24" t="s">
        <v>69</v>
      </c>
      <c r="C44" s="24" t="s">
        <v>70</v>
      </c>
      <c r="D44" s="16" t="s">
        <v>71</v>
      </c>
      <c r="E44" s="57"/>
      <c r="F44" s="59" t="s">
        <v>72</v>
      </c>
      <c r="G44" s="261">
        <f>G45+G46+G47</f>
        <v>75.400000000000006</v>
      </c>
      <c r="H44" s="261">
        <f>H45+H46+H47</f>
        <v>64.599999999999994</v>
      </c>
      <c r="I44" s="261">
        <f>I45+I46+I47</f>
        <v>12.4</v>
      </c>
      <c r="J44" s="261">
        <f>I44/G44*100</f>
        <v>16.445623342175065</v>
      </c>
      <c r="K44" s="261">
        <f>K45+K46+K47</f>
        <v>0</v>
      </c>
      <c r="L44" s="261"/>
      <c r="M44" s="261"/>
      <c r="N44" s="261"/>
    </row>
    <row r="45" spans="1:14" s="51" customFormat="1" ht="36" customHeight="1" x14ac:dyDescent="0.25">
      <c r="A45" s="21"/>
      <c r="B45" s="21"/>
      <c r="C45" s="21"/>
      <c r="D45" s="28"/>
      <c r="E45" s="28"/>
      <c r="F45" s="43" t="s">
        <v>73</v>
      </c>
      <c r="G45" s="260">
        <v>15</v>
      </c>
      <c r="H45" s="260">
        <v>11</v>
      </c>
      <c r="I45" s="260">
        <v>1.1000000000000001</v>
      </c>
      <c r="J45" s="260"/>
      <c r="K45" s="260"/>
      <c r="L45" s="260"/>
      <c r="M45" s="260"/>
      <c r="N45" s="260"/>
    </row>
    <row r="46" spans="1:14" s="51" customFormat="1" ht="81.75" customHeight="1" x14ac:dyDescent="0.25">
      <c r="A46" s="42"/>
      <c r="B46" s="21"/>
      <c r="C46" s="21"/>
      <c r="D46" s="43"/>
      <c r="E46" s="28"/>
      <c r="F46" s="43" t="s">
        <v>412</v>
      </c>
      <c r="G46" s="260">
        <v>40</v>
      </c>
      <c r="H46" s="260">
        <v>40</v>
      </c>
      <c r="I46" s="260">
        <v>7.7</v>
      </c>
      <c r="J46" s="260"/>
      <c r="K46" s="260"/>
      <c r="L46" s="260"/>
      <c r="M46" s="260"/>
      <c r="N46" s="260"/>
    </row>
    <row r="47" spans="1:14" s="19" customFormat="1" ht="33" customHeight="1" x14ac:dyDescent="0.25">
      <c r="A47" s="24"/>
      <c r="B47" s="24"/>
      <c r="C47" s="24"/>
      <c r="D47" s="57"/>
      <c r="E47" s="57"/>
      <c r="F47" s="60" t="s">
        <v>75</v>
      </c>
      <c r="G47" s="260">
        <v>20.399999999999999</v>
      </c>
      <c r="H47" s="260">
        <v>13.6</v>
      </c>
      <c r="I47" s="260">
        <v>3.6</v>
      </c>
      <c r="J47" s="260"/>
      <c r="K47" s="260"/>
      <c r="L47" s="260"/>
      <c r="M47" s="260"/>
      <c r="N47" s="260"/>
    </row>
    <row r="48" spans="1:14" s="51" customFormat="1" ht="89.25" customHeight="1" x14ac:dyDescent="0.25">
      <c r="A48" s="21" t="s">
        <v>76</v>
      </c>
      <c r="B48" s="21" t="s">
        <v>77</v>
      </c>
      <c r="C48" s="21" t="s">
        <v>70</v>
      </c>
      <c r="D48" s="28" t="s">
        <v>78</v>
      </c>
      <c r="E48" s="28"/>
      <c r="F48" s="60" t="s">
        <v>79</v>
      </c>
      <c r="G48" s="261">
        <v>30</v>
      </c>
      <c r="H48" s="261">
        <v>21.5</v>
      </c>
      <c r="I48" s="261">
        <v>12</v>
      </c>
      <c r="J48" s="261">
        <f t="shared" ref="J48:J57" si="3">I48/G48*100</f>
        <v>40</v>
      </c>
      <c r="K48" s="261">
        <v>0</v>
      </c>
      <c r="L48" s="261"/>
      <c r="M48" s="261"/>
      <c r="N48" s="261"/>
    </row>
    <row r="49" spans="1:14" s="51" customFormat="1" ht="78.75" customHeight="1" x14ac:dyDescent="0.25">
      <c r="A49" s="21" t="s">
        <v>80</v>
      </c>
      <c r="B49" s="21" t="s">
        <v>81</v>
      </c>
      <c r="C49" s="21" t="s">
        <v>70</v>
      </c>
      <c r="D49" s="28" t="s">
        <v>82</v>
      </c>
      <c r="E49" s="28"/>
      <c r="F49" s="59" t="s">
        <v>83</v>
      </c>
      <c r="G49" s="261">
        <v>150</v>
      </c>
      <c r="H49" s="261">
        <v>150</v>
      </c>
      <c r="I49" s="261">
        <v>113.7</v>
      </c>
      <c r="J49" s="261">
        <f t="shared" si="3"/>
        <v>75.8</v>
      </c>
      <c r="K49" s="261"/>
      <c r="L49" s="261"/>
      <c r="M49" s="261"/>
      <c r="N49" s="261"/>
    </row>
    <row r="50" spans="1:14" s="19" customFormat="1" ht="71.25" customHeight="1" x14ac:dyDescent="0.25">
      <c r="A50" s="21" t="s">
        <v>84</v>
      </c>
      <c r="B50" s="21" t="s">
        <v>85</v>
      </c>
      <c r="C50" s="21" t="s">
        <v>70</v>
      </c>
      <c r="D50" s="28" t="s">
        <v>86</v>
      </c>
      <c r="E50" s="57"/>
      <c r="F50" s="61" t="s">
        <v>87</v>
      </c>
      <c r="G50" s="261">
        <v>158.4</v>
      </c>
      <c r="H50" s="261">
        <v>158.4</v>
      </c>
      <c r="I50" s="261">
        <v>158.4</v>
      </c>
      <c r="J50" s="261">
        <f t="shared" si="3"/>
        <v>100</v>
      </c>
      <c r="K50" s="261"/>
      <c r="L50" s="261"/>
      <c r="M50" s="261"/>
      <c r="N50" s="261"/>
    </row>
    <row r="51" spans="1:14" s="19" customFormat="1" ht="138.75" customHeight="1" x14ac:dyDescent="0.25">
      <c r="A51" s="21" t="s">
        <v>447</v>
      </c>
      <c r="B51" s="21" t="s">
        <v>448</v>
      </c>
      <c r="C51" s="21" t="s">
        <v>30</v>
      </c>
      <c r="D51" s="28" t="s">
        <v>449</v>
      </c>
      <c r="E51" s="57"/>
      <c r="F51" s="60" t="s">
        <v>450</v>
      </c>
      <c r="G51" s="261"/>
      <c r="H51" s="261"/>
      <c r="I51" s="261"/>
      <c r="J51" s="261"/>
      <c r="K51" s="261">
        <v>111.6</v>
      </c>
      <c r="L51" s="261">
        <v>41.6</v>
      </c>
      <c r="M51" s="261">
        <v>15.6</v>
      </c>
      <c r="N51" s="261"/>
    </row>
    <row r="52" spans="1:14" s="19" customFormat="1" ht="33.75" customHeight="1" x14ac:dyDescent="0.25">
      <c r="A52" s="207" t="s">
        <v>88</v>
      </c>
      <c r="B52" s="207" t="s">
        <v>89</v>
      </c>
      <c r="C52" s="207" t="s">
        <v>70</v>
      </c>
      <c r="D52" s="208" t="s">
        <v>90</v>
      </c>
      <c r="E52" s="203"/>
      <c r="F52" s="209"/>
      <c r="G52" s="268">
        <f>G53+G54+G55+G56</f>
        <v>487.75</v>
      </c>
      <c r="H52" s="268">
        <f>H53+H54+H55+H56</f>
        <v>347.7</v>
      </c>
      <c r="I52" s="268">
        <f>I53+I54+I55+I56</f>
        <v>253.7</v>
      </c>
      <c r="J52" s="268">
        <f t="shared" si="3"/>
        <v>52.014351614556631</v>
      </c>
      <c r="K52" s="268">
        <v>0</v>
      </c>
      <c r="L52" s="268">
        <v>0</v>
      </c>
      <c r="M52" s="268">
        <f t="shared" ref="M52" si="4">M53+M54+M55+M56+M42</f>
        <v>15.6</v>
      </c>
      <c r="N52" s="268" t="e">
        <f>M52/K52*100</f>
        <v>#DIV/0!</v>
      </c>
    </row>
    <row r="53" spans="1:14" s="19" customFormat="1" ht="55.5" customHeight="1" x14ac:dyDescent="0.25">
      <c r="A53" s="21" t="s">
        <v>91</v>
      </c>
      <c r="B53" s="42">
        <v>2221</v>
      </c>
      <c r="C53" s="21" t="s">
        <v>70</v>
      </c>
      <c r="D53" s="28"/>
      <c r="E53" s="28"/>
      <c r="F53" s="13" t="s">
        <v>280</v>
      </c>
      <c r="G53" s="261">
        <v>130</v>
      </c>
      <c r="H53" s="261">
        <v>87.5</v>
      </c>
      <c r="I53" s="261">
        <v>58.7</v>
      </c>
      <c r="J53" s="261">
        <f t="shared" si="3"/>
        <v>45.153846153846153</v>
      </c>
      <c r="K53" s="260"/>
      <c r="L53" s="260"/>
      <c r="M53" s="260"/>
      <c r="N53" s="260"/>
    </row>
    <row r="54" spans="1:14" s="19" customFormat="1" ht="105" customHeight="1" x14ac:dyDescent="0.25">
      <c r="A54" s="21" t="s">
        <v>92</v>
      </c>
      <c r="B54" s="42">
        <v>2222</v>
      </c>
      <c r="C54" s="21" t="s">
        <v>70</v>
      </c>
      <c r="D54" s="28"/>
      <c r="E54" s="28"/>
      <c r="F54" s="62" t="s">
        <v>93</v>
      </c>
      <c r="G54" s="261">
        <v>72</v>
      </c>
      <c r="H54" s="261">
        <v>48</v>
      </c>
      <c r="I54" s="261">
        <v>23.4</v>
      </c>
      <c r="J54" s="261">
        <f t="shared" si="3"/>
        <v>32.499999999999993</v>
      </c>
      <c r="K54" s="261"/>
      <c r="L54" s="261"/>
      <c r="M54" s="261"/>
      <c r="N54" s="261"/>
    </row>
    <row r="55" spans="1:14" s="19" customFormat="1" ht="86.25" customHeight="1" x14ac:dyDescent="0.25">
      <c r="A55" s="21" t="s">
        <v>94</v>
      </c>
      <c r="B55" s="42">
        <v>2223</v>
      </c>
      <c r="C55" s="21" t="s">
        <v>70</v>
      </c>
      <c r="D55" s="28"/>
      <c r="E55" s="28"/>
      <c r="F55" s="43" t="s">
        <v>95</v>
      </c>
      <c r="G55" s="261">
        <v>226</v>
      </c>
      <c r="H55" s="261">
        <v>152.5</v>
      </c>
      <c r="I55" s="261">
        <v>112.4</v>
      </c>
      <c r="J55" s="261">
        <f t="shared" si="3"/>
        <v>49.734513274336287</v>
      </c>
      <c r="K55" s="261"/>
      <c r="L55" s="261"/>
      <c r="M55" s="261"/>
      <c r="N55" s="261"/>
    </row>
    <row r="56" spans="1:14" s="51" customFormat="1" ht="69.75" customHeight="1" x14ac:dyDescent="0.25">
      <c r="A56" s="42">
        <v>1512224</v>
      </c>
      <c r="B56" s="21" t="s">
        <v>96</v>
      </c>
      <c r="C56" s="21" t="s">
        <v>70</v>
      </c>
      <c r="D56" s="16"/>
      <c r="E56" s="28"/>
      <c r="F56" s="13" t="s">
        <v>97</v>
      </c>
      <c r="G56" s="261">
        <v>59.75</v>
      </c>
      <c r="H56" s="261">
        <v>59.7</v>
      </c>
      <c r="I56" s="261">
        <v>59.2</v>
      </c>
      <c r="J56" s="261">
        <f t="shared" si="3"/>
        <v>99.079497907949801</v>
      </c>
      <c r="K56" s="261"/>
      <c r="L56" s="261"/>
      <c r="M56" s="261"/>
      <c r="N56" s="261"/>
    </row>
    <row r="57" spans="1:14" s="64" customFormat="1" ht="85.5" customHeight="1" x14ac:dyDescent="0.25">
      <c r="A57" s="42">
        <v>1513240</v>
      </c>
      <c r="B57" s="21" t="s">
        <v>98</v>
      </c>
      <c r="C57" s="21" t="s">
        <v>99</v>
      </c>
      <c r="D57" s="45" t="s">
        <v>100</v>
      </c>
      <c r="E57" s="63" t="s">
        <v>100</v>
      </c>
      <c r="F57" s="45" t="s">
        <v>101</v>
      </c>
      <c r="G57" s="261">
        <f>50+23.5</f>
        <v>73.5</v>
      </c>
      <c r="H57" s="261">
        <v>58.3</v>
      </c>
      <c r="I57" s="261">
        <v>55.9</v>
      </c>
      <c r="J57" s="261">
        <f t="shared" si="3"/>
        <v>76.054421768707485</v>
      </c>
      <c r="K57" s="261"/>
      <c r="L57" s="261"/>
      <c r="M57" s="261"/>
      <c r="N57" s="261"/>
    </row>
    <row r="58" spans="1:14" s="65" customFormat="1" ht="36" customHeight="1" x14ac:dyDescent="0.25">
      <c r="A58" s="48">
        <v>1513190</v>
      </c>
      <c r="B58" s="49" t="s">
        <v>102</v>
      </c>
      <c r="C58" s="49" t="s">
        <v>103</v>
      </c>
      <c r="D58" s="47"/>
      <c r="E58" s="47"/>
      <c r="F58" s="13" t="s">
        <v>281</v>
      </c>
      <c r="G58" s="261">
        <f>G59+G60+G63</f>
        <v>384.4</v>
      </c>
      <c r="H58" s="261">
        <f>H59+H60+H63</f>
        <v>261.8</v>
      </c>
      <c r="I58" s="261">
        <f>I59+I60+I63</f>
        <v>69.8</v>
      </c>
      <c r="J58" s="261">
        <f t="shared" ref="J58:N58" si="5">J59+J60+J63</f>
        <v>0</v>
      </c>
      <c r="K58" s="261">
        <f>K59+K60+K63</f>
        <v>500</v>
      </c>
      <c r="L58" s="261">
        <f t="shared" si="5"/>
        <v>0</v>
      </c>
      <c r="M58" s="261">
        <f t="shared" si="5"/>
        <v>0</v>
      </c>
      <c r="N58" s="261">
        <f t="shared" si="5"/>
        <v>0</v>
      </c>
    </row>
    <row r="59" spans="1:14" s="65" customFormat="1" ht="115.5" customHeight="1" x14ac:dyDescent="0.25">
      <c r="A59" s="42">
        <v>1513190</v>
      </c>
      <c r="B59" s="21" t="s">
        <v>102</v>
      </c>
      <c r="C59" s="21" t="s">
        <v>103</v>
      </c>
      <c r="D59" s="16" t="s">
        <v>104</v>
      </c>
      <c r="E59" s="47"/>
      <c r="F59" s="43" t="s">
        <v>300</v>
      </c>
      <c r="G59" s="260">
        <v>150</v>
      </c>
      <c r="H59" s="260">
        <v>100</v>
      </c>
      <c r="I59" s="260">
        <v>20.3</v>
      </c>
      <c r="J59" s="260"/>
      <c r="K59" s="260"/>
      <c r="L59" s="260"/>
      <c r="M59" s="260"/>
      <c r="N59" s="260"/>
    </row>
    <row r="60" spans="1:14" s="65" customFormat="1" ht="37.5" customHeight="1" x14ac:dyDescent="0.25">
      <c r="A60" s="42">
        <v>1513200</v>
      </c>
      <c r="B60" s="21" t="s">
        <v>105</v>
      </c>
      <c r="C60" s="21"/>
      <c r="D60" s="68" t="s">
        <v>106</v>
      </c>
      <c r="E60" s="47"/>
      <c r="F60" s="43"/>
      <c r="G60" s="260">
        <f>G61+G62</f>
        <v>234.4</v>
      </c>
      <c r="H60" s="260">
        <f>H61+H62</f>
        <v>161.80000000000001</v>
      </c>
      <c r="I60" s="260">
        <f>I61+I62</f>
        <v>49.5</v>
      </c>
      <c r="J60" s="260"/>
      <c r="K60" s="260">
        <f>K61+K62</f>
        <v>0</v>
      </c>
      <c r="L60" s="260"/>
      <c r="M60" s="260"/>
      <c r="N60" s="260"/>
    </row>
    <row r="61" spans="1:14" s="65" customFormat="1" ht="133.5" customHeight="1" x14ac:dyDescent="0.25">
      <c r="A61" s="42">
        <v>1513201</v>
      </c>
      <c r="B61" s="21" t="s">
        <v>107</v>
      </c>
      <c r="C61" s="21" t="s">
        <v>108</v>
      </c>
      <c r="D61" s="16" t="s">
        <v>109</v>
      </c>
      <c r="E61" s="13"/>
      <c r="F61" s="43" t="s">
        <v>110</v>
      </c>
      <c r="G61" s="260">
        <v>200</v>
      </c>
      <c r="H61" s="260">
        <v>138</v>
      </c>
      <c r="I61" s="260">
        <v>28</v>
      </c>
      <c r="J61" s="260"/>
      <c r="K61" s="260"/>
      <c r="L61" s="260"/>
      <c r="M61" s="260"/>
      <c r="N61" s="260"/>
    </row>
    <row r="62" spans="1:14" s="10" customFormat="1" ht="65.25" customHeight="1" x14ac:dyDescent="0.25">
      <c r="A62" s="42">
        <v>1513202</v>
      </c>
      <c r="B62" s="42">
        <v>3202</v>
      </c>
      <c r="C62" s="42">
        <v>1030</v>
      </c>
      <c r="D62" s="16" t="s">
        <v>111</v>
      </c>
      <c r="E62" s="66"/>
      <c r="F62" s="43" t="s">
        <v>112</v>
      </c>
      <c r="G62" s="260">
        <v>34.4</v>
      </c>
      <c r="H62" s="260">
        <v>23.8</v>
      </c>
      <c r="I62" s="260">
        <v>21.5</v>
      </c>
      <c r="J62" s="260"/>
      <c r="K62" s="260"/>
      <c r="L62" s="260"/>
      <c r="M62" s="260"/>
      <c r="N62" s="260"/>
    </row>
    <row r="63" spans="1:14" s="10" customFormat="1" ht="101.25" customHeight="1" x14ac:dyDescent="0.3">
      <c r="A63" s="233" t="s">
        <v>359</v>
      </c>
      <c r="B63" s="233" t="s">
        <v>360</v>
      </c>
      <c r="C63" s="233" t="s">
        <v>103</v>
      </c>
      <c r="D63" s="238" t="s">
        <v>361</v>
      </c>
      <c r="E63" s="66"/>
      <c r="F63" s="43" t="s">
        <v>358</v>
      </c>
      <c r="G63" s="260"/>
      <c r="H63" s="260"/>
      <c r="I63" s="260"/>
      <c r="J63" s="260"/>
      <c r="K63" s="260">
        <v>500</v>
      </c>
      <c r="L63" s="260">
        <v>0</v>
      </c>
      <c r="M63" s="260">
        <v>0</v>
      </c>
      <c r="N63" s="260"/>
    </row>
    <row r="64" spans="1:14" s="65" customFormat="1" ht="38.25" customHeight="1" x14ac:dyDescent="0.25">
      <c r="A64" s="21"/>
      <c r="B64" s="21"/>
      <c r="C64" s="21"/>
      <c r="D64" s="43"/>
      <c r="E64" s="43"/>
      <c r="F64" s="43" t="s">
        <v>113</v>
      </c>
      <c r="G64" s="261">
        <f>G65+G71+G73+G74+G77</f>
        <v>4982.2999999999993</v>
      </c>
      <c r="H64" s="261">
        <f>H65+H71+H73+H74+H77</f>
        <v>2892.5</v>
      </c>
      <c r="I64" s="261">
        <f>I65+I71+I73+I74+I77</f>
        <v>2381.2459999999996</v>
      </c>
      <c r="J64" s="261"/>
      <c r="K64" s="261"/>
      <c r="L64" s="261"/>
      <c r="M64" s="261"/>
      <c r="N64" s="261"/>
    </row>
    <row r="65" spans="1:14" s="65" customFormat="1" ht="275.25" customHeight="1" x14ac:dyDescent="0.25">
      <c r="A65" s="11" t="s">
        <v>114</v>
      </c>
      <c r="B65" s="11" t="s">
        <v>115</v>
      </c>
      <c r="C65" s="11" t="s">
        <v>108</v>
      </c>
      <c r="D65" s="67" t="s">
        <v>116</v>
      </c>
      <c r="E65" s="156" t="s">
        <v>116</v>
      </c>
      <c r="F65" s="43"/>
      <c r="G65" s="261">
        <f>G69+G70+G66+G67+G68</f>
        <v>1735.1</v>
      </c>
      <c r="H65" s="261">
        <f>H69+H70+H66+H67+H68</f>
        <v>1326.7</v>
      </c>
      <c r="I65" s="261">
        <f>I69+I70+I66+I67+I68</f>
        <v>1189.7459999999999</v>
      </c>
      <c r="J65" s="261"/>
      <c r="K65" s="261"/>
      <c r="L65" s="261"/>
      <c r="M65" s="261"/>
      <c r="N65" s="261"/>
    </row>
    <row r="66" spans="1:14" s="228" customFormat="1" ht="54" customHeight="1" x14ac:dyDescent="0.25">
      <c r="A66" s="42">
        <v>1513031</v>
      </c>
      <c r="B66" s="21" t="s">
        <v>326</v>
      </c>
      <c r="C66" s="21"/>
      <c r="D66" s="28"/>
      <c r="E66" s="47"/>
      <c r="F66" s="43" t="s">
        <v>329</v>
      </c>
      <c r="G66" s="260">
        <v>75</v>
      </c>
      <c r="H66" s="260">
        <v>30</v>
      </c>
      <c r="I66" s="260">
        <v>0</v>
      </c>
      <c r="J66" s="260"/>
      <c r="K66" s="260"/>
      <c r="L66" s="260"/>
      <c r="M66" s="260"/>
      <c r="N66" s="260"/>
    </row>
    <row r="67" spans="1:14" s="228" customFormat="1" ht="54" customHeight="1" x14ac:dyDescent="0.25">
      <c r="A67" s="42">
        <v>1513033</v>
      </c>
      <c r="B67" s="21" t="s">
        <v>327</v>
      </c>
      <c r="C67" s="21"/>
      <c r="D67" s="28"/>
      <c r="E67" s="47"/>
      <c r="F67" s="43" t="s">
        <v>330</v>
      </c>
      <c r="G67" s="260">
        <v>29</v>
      </c>
      <c r="H67" s="260">
        <v>16</v>
      </c>
      <c r="I67" s="260">
        <v>9.1460000000000008</v>
      </c>
      <c r="J67" s="260"/>
      <c r="K67" s="260"/>
      <c r="L67" s="260"/>
      <c r="M67" s="260"/>
      <c r="N67" s="260"/>
    </row>
    <row r="68" spans="1:14" s="228" customFormat="1" ht="54" customHeight="1" x14ac:dyDescent="0.25">
      <c r="A68" s="42">
        <v>1513034</v>
      </c>
      <c r="B68" s="21" t="s">
        <v>328</v>
      </c>
      <c r="C68" s="21"/>
      <c r="D68" s="28"/>
      <c r="E68" s="47"/>
      <c r="F68" s="43" t="s">
        <v>331</v>
      </c>
      <c r="G68" s="260">
        <v>244.1</v>
      </c>
      <c r="H68" s="260">
        <v>229.45</v>
      </c>
      <c r="I68" s="260">
        <v>204.1</v>
      </c>
      <c r="J68" s="260"/>
      <c r="K68" s="260"/>
      <c r="L68" s="260"/>
      <c r="M68" s="260"/>
      <c r="N68" s="260"/>
    </row>
    <row r="69" spans="1:14" s="228" customFormat="1" ht="54" customHeight="1" x14ac:dyDescent="0.25">
      <c r="A69" s="42">
        <v>1513035</v>
      </c>
      <c r="B69" s="21" t="s">
        <v>117</v>
      </c>
      <c r="C69" s="21" t="s">
        <v>118</v>
      </c>
      <c r="D69" s="28" t="s">
        <v>119</v>
      </c>
      <c r="E69" s="47"/>
      <c r="F69" s="43" t="s">
        <v>120</v>
      </c>
      <c r="G69" s="260">
        <v>1350</v>
      </c>
      <c r="H69" s="260">
        <v>1014.85</v>
      </c>
      <c r="I69" s="260">
        <v>941.6</v>
      </c>
      <c r="J69" s="260"/>
      <c r="K69" s="260"/>
      <c r="L69" s="260"/>
      <c r="M69" s="260"/>
      <c r="N69" s="260"/>
    </row>
    <row r="70" spans="1:14" s="228" customFormat="1" ht="54" customHeight="1" x14ac:dyDescent="0.25">
      <c r="A70" s="42">
        <v>1513037</v>
      </c>
      <c r="B70" s="21" t="s">
        <v>121</v>
      </c>
      <c r="C70" s="21" t="s">
        <v>118</v>
      </c>
      <c r="D70" s="28" t="s">
        <v>122</v>
      </c>
      <c r="E70" s="47"/>
      <c r="F70" s="43" t="s">
        <v>123</v>
      </c>
      <c r="G70" s="260">
        <v>37</v>
      </c>
      <c r="H70" s="260">
        <v>36.4</v>
      </c>
      <c r="I70" s="260">
        <v>34.9</v>
      </c>
      <c r="J70" s="260"/>
      <c r="K70" s="260"/>
      <c r="L70" s="260"/>
      <c r="M70" s="260"/>
      <c r="N70" s="260"/>
    </row>
    <row r="71" spans="1:14" s="65" customFormat="1" ht="120.75" customHeight="1" x14ac:dyDescent="0.25">
      <c r="A71" s="42">
        <v>1513180</v>
      </c>
      <c r="B71" s="21" t="s">
        <v>127</v>
      </c>
      <c r="C71" s="21"/>
      <c r="D71" s="67" t="s">
        <v>125</v>
      </c>
      <c r="E71" s="47"/>
      <c r="F71" s="43"/>
      <c r="G71" s="260">
        <f>G72</f>
        <v>200</v>
      </c>
      <c r="H71" s="260">
        <f>H72</f>
        <v>132</v>
      </c>
      <c r="I71" s="260">
        <f>I72</f>
        <v>93.1</v>
      </c>
      <c r="J71" s="260"/>
      <c r="K71" s="260">
        <f>K72</f>
        <v>0</v>
      </c>
      <c r="L71" s="260"/>
      <c r="M71" s="260"/>
      <c r="N71" s="260"/>
    </row>
    <row r="72" spans="1:14" s="10" customFormat="1" ht="101.25" customHeight="1" x14ac:dyDescent="0.25">
      <c r="A72" s="21" t="s">
        <v>126</v>
      </c>
      <c r="B72" s="21" t="s">
        <v>127</v>
      </c>
      <c r="C72" s="21" t="s">
        <v>128</v>
      </c>
      <c r="D72" s="43" t="s">
        <v>129</v>
      </c>
      <c r="E72" s="44"/>
      <c r="F72" s="45" t="s">
        <v>130</v>
      </c>
      <c r="G72" s="260">
        <v>200</v>
      </c>
      <c r="H72" s="260">
        <v>132</v>
      </c>
      <c r="I72" s="260">
        <v>93.1</v>
      </c>
      <c r="J72" s="260"/>
      <c r="K72" s="260"/>
      <c r="L72" s="260"/>
      <c r="M72" s="260"/>
      <c r="N72" s="260"/>
    </row>
    <row r="73" spans="1:14" s="64" customFormat="1" ht="114" customHeight="1" x14ac:dyDescent="0.25">
      <c r="A73" s="21" t="s">
        <v>131</v>
      </c>
      <c r="B73" s="21" t="s">
        <v>102</v>
      </c>
      <c r="C73" s="21" t="s">
        <v>103</v>
      </c>
      <c r="D73" s="16" t="s">
        <v>104</v>
      </c>
      <c r="E73" s="44"/>
      <c r="F73" s="45" t="s">
        <v>132</v>
      </c>
      <c r="G73" s="260">
        <v>116</v>
      </c>
      <c r="H73" s="260">
        <v>67.599999999999994</v>
      </c>
      <c r="I73" s="260">
        <v>25.5</v>
      </c>
      <c r="J73" s="260"/>
      <c r="K73" s="260"/>
      <c r="L73" s="260"/>
      <c r="M73" s="260"/>
      <c r="N73" s="260"/>
    </row>
    <row r="74" spans="1:14" s="64" customFormat="1" ht="38.25" customHeight="1" x14ac:dyDescent="0.25">
      <c r="A74" s="21" t="s">
        <v>133</v>
      </c>
      <c r="B74" s="21" t="s">
        <v>105</v>
      </c>
      <c r="C74" s="21"/>
      <c r="D74" s="68" t="s">
        <v>106</v>
      </c>
      <c r="E74" s="44"/>
      <c r="F74" s="45"/>
      <c r="G74" s="260">
        <f>G75+G76</f>
        <v>1130.0999999999999</v>
      </c>
      <c r="H74" s="260">
        <f>H75+H76</f>
        <v>276.89999999999998</v>
      </c>
      <c r="I74" s="260">
        <f>I75+I76</f>
        <v>244.1</v>
      </c>
      <c r="J74" s="260"/>
      <c r="K74" s="260">
        <f>K75+K76</f>
        <v>0</v>
      </c>
      <c r="L74" s="260"/>
      <c r="M74" s="260"/>
      <c r="N74" s="260"/>
    </row>
    <row r="75" spans="1:14" s="64" customFormat="1" ht="113.25" customHeight="1" x14ac:dyDescent="0.25">
      <c r="A75" s="21" t="s">
        <v>134</v>
      </c>
      <c r="B75" s="21" t="s">
        <v>107</v>
      </c>
      <c r="C75" s="21" t="s">
        <v>108</v>
      </c>
      <c r="D75" s="16" t="s">
        <v>109</v>
      </c>
      <c r="E75" s="44"/>
      <c r="F75" s="88" t="s">
        <v>135</v>
      </c>
      <c r="G75" s="260">
        <v>974</v>
      </c>
      <c r="H75" s="260">
        <v>164.1</v>
      </c>
      <c r="I75" s="260">
        <v>146.19999999999999</v>
      </c>
      <c r="J75" s="260"/>
      <c r="K75" s="260"/>
      <c r="L75" s="260"/>
      <c r="M75" s="260"/>
      <c r="N75" s="260"/>
    </row>
    <row r="76" spans="1:14" s="10" customFormat="1" ht="78" customHeight="1" x14ac:dyDescent="0.25">
      <c r="A76" s="24" t="s">
        <v>136</v>
      </c>
      <c r="B76" s="21" t="s">
        <v>137</v>
      </c>
      <c r="C76" s="21" t="s">
        <v>108</v>
      </c>
      <c r="D76" s="43" t="s">
        <v>111</v>
      </c>
      <c r="E76" s="44"/>
      <c r="F76" s="43" t="s">
        <v>138</v>
      </c>
      <c r="G76" s="260">
        <v>156.1</v>
      </c>
      <c r="H76" s="260">
        <v>112.8</v>
      </c>
      <c r="I76" s="260">
        <v>97.9</v>
      </c>
      <c r="J76" s="260"/>
      <c r="K76" s="260"/>
      <c r="L76" s="260"/>
      <c r="M76" s="260"/>
      <c r="N76" s="260"/>
    </row>
    <row r="77" spans="1:14" s="10" customFormat="1" ht="40.5" customHeight="1" x14ac:dyDescent="0.25">
      <c r="A77" s="24" t="s">
        <v>139</v>
      </c>
      <c r="B77" s="21" t="s">
        <v>140</v>
      </c>
      <c r="C77" s="21" t="s">
        <v>141</v>
      </c>
      <c r="D77" s="68" t="s">
        <v>142</v>
      </c>
      <c r="E77" s="44"/>
      <c r="F77" s="43"/>
      <c r="G77" s="260">
        <f>G78</f>
        <v>1801.1</v>
      </c>
      <c r="H77" s="260">
        <f>H78</f>
        <v>1089.3</v>
      </c>
      <c r="I77" s="260">
        <f>I78</f>
        <v>828.8</v>
      </c>
      <c r="J77" s="260"/>
      <c r="K77" s="260">
        <f>K78</f>
        <v>0</v>
      </c>
      <c r="L77" s="260"/>
      <c r="M77" s="260"/>
      <c r="N77" s="260"/>
    </row>
    <row r="78" spans="1:14" s="65" customFormat="1" ht="191.25" customHeight="1" x14ac:dyDescent="0.25">
      <c r="A78" s="21" t="s">
        <v>143</v>
      </c>
      <c r="B78" s="21" t="s">
        <v>144</v>
      </c>
      <c r="C78" s="21" t="s">
        <v>141</v>
      </c>
      <c r="D78" s="16" t="s">
        <v>142</v>
      </c>
      <c r="E78" s="43"/>
      <c r="F78" s="43" t="s">
        <v>145</v>
      </c>
      <c r="G78" s="260">
        <v>1801.1</v>
      </c>
      <c r="H78" s="260">
        <v>1089.3</v>
      </c>
      <c r="I78" s="260">
        <v>828.8</v>
      </c>
      <c r="J78" s="260"/>
      <c r="K78" s="260"/>
      <c r="L78" s="260"/>
      <c r="M78" s="260"/>
      <c r="N78" s="260"/>
    </row>
    <row r="79" spans="1:14" s="65" customFormat="1" ht="74.25" customHeight="1" x14ac:dyDescent="0.25">
      <c r="A79" s="21" t="s">
        <v>406</v>
      </c>
      <c r="B79" s="21" t="s">
        <v>52</v>
      </c>
      <c r="C79" s="21" t="s">
        <v>53</v>
      </c>
      <c r="D79" s="16" t="s">
        <v>54</v>
      </c>
      <c r="E79" s="43"/>
      <c r="F79" s="43" t="s">
        <v>410</v>
      </c>
      <c r="G79" s="260">
        <v>8.5</v>
      </c>
      <c r="H79" s="260">
        <v>8.1999999999999993</v>
      </c>
      <c r="I79" s="260">
        <v>7.7</v>
      </c>
      <c r="J79" s="260"/>
      <c r="K79" s="260"/>
      <c r="L79" s="260"/>
      <c r="M79" s="260"/>
      <c r="N79" s="260"/>
    </row>
    <row r="80" spans="1:14" s="65" customFormat="1" ht="101.25" customHeight="1" x14ac:dyDescent="0.3">
      <c r="A80" s="234" t="s">
        <v>349</v>
      </c>
      <c r="B80" s="233" t="s">
        <v>348</v>
      </c>
      <c r="C80" s="233" t="s">
        <v>141</v>
      </c>
      <c r="D80" s="235" t="s">
        <v>142</v>
      </c>
      <c r="E80" s="43"/>
      <c r="F80" s="13" t="s">
        <v>451</v>
      </c>
      <c r="G80" s="260">
        <v>215.3</v>
      </c>
      <c r="H80" s="260">
        <v>215.3</v>
      </c>
      <c r="I80" s="260">
        <v>215.3</v>
      </c>
      <c r="J80" s="260"/>
      <c r="K80" s="260"/>
      <c r="L80" s="260"/>
      <c r="M80" s="260"/>
      <c r="N80" s="260"/>
    </row>
    <row r="81" spans="1:14" s="10" customFormat="1" ht="27.75" customHeight="1" x14ac:dyDescent="0.25">
      <c r="A81" s="50"/>
      <c r="B81" s="34"/>
      <c r="C81" s="34"/>
      <c r="D81" s="197" t="s">
        <v>50</v>
      </c>
      <c r="E81" s="201"/>
      <c r="F81" s="202"/>
      <c r="G81" s="262">
        <f>G42+G52+G57+G58+G64+G80+G79</f>
        <v>6715.0499999999993</v>
      </c>
      <c r="H81" s="262">
        <f>H42+H52+H57+H58+H64+H80+H79</f>
        <v>4327.8</v>
      </c>
      <c r="I81" s="262">
        <f>I42+I52+I57+I58+I64+I80+I79</f>
        <v>3383.5459999999994</v>
      </c>
      <c r="J81" s="262">
        <f>J42+J52+J57+J58+J64+J80</f>
        <v>199.06113979547786</v>
      </c>
      <c r="K81" s="262">
        <f>K42+K58</f>
        <v>611.6</v>
      </c>
      <c r="L81" s="262">
        <f>L42+L58</f>
        <v>41.6</v>
      </c>
      <c r="M81" s="262">
        <f>M42+M58</f>
        <v>15.6</v>
      </c>
      <c r="N81" s="262" t="e">
        <f t="shared" ref="N81" si="6">N42+N52+N57+N58+N64+N80</f>
        <v>#DIV/0!</v>
      </c>
    </row>
    <row r="82" spans="1:14" s="10" customFormat="1" ht="43.5" customHeight="1" x14ac:dyDescent="0.25">
      <c r="A82" s="180">
        <v>2000000</v>
      </c>
      <c r="B82" s="167"/>
      <c r="C82" s="167"/>
      <c r="D82" s="181" t="s">
        <v>146</v>
      </c>
      <c r="E82" s="182"/>
      <c r="F82" s="165"/>
      <c r="G82" s="265"/>
      <c r="H82" s="265"/>
      <c r="I82" s="265"/>
      <c r="J82" s="265"/>
      <c r="K82" s="265"/>
      <c r="L82" s="265"/>
      <c r="M82" s="265"/>
      <c r="N82" s="265"/>
    </row>
    <row r="83" spans="1:14" s="71" customFormat="1" ht="43.5" customHeight="1" x14ac:dyDescent="0.25">
      <c r="A83" s="180">
        <v>2010000</v>
      </c>
      <c r="B83" s="167"/>
      <c r="C83" s="167"/>
      <c r="D83" s="183" t="s">
        <v>146</v>
      </c>
      <c r="E83" s="182"/>
      <c r="F83" s="165"/>
      <c r="G83" s="265"/>
      <c r="H83" s="265"/>
      <c r="I83" s="265"/>
      <c r="J83" s="265"/>
      <c r="K83" s="265"/>
      <c r="L83" s="265"/>
      <c r="M83" s="265"/>
      <c r="N83" s="265"/>
    </row>
    <row r="84" spans="1:14" s="71" customFormat="1" ht="43.5" customHeight="1" x14ac:dyDescent="0.25">
      <c r="A84" s="11" t="s">
        <v>147</v>
      </c>
      <c r="B84" s="11" t="s">
        <v>148</v>
      </c>
      <c r="C84" s="34"/>
      <c r="D84" s="156" t="s">
        <v>149</v>
      </c>
      <c r="E84" s="69"/>
      <c r="F84" s="9"/>
      <c r="G84" s="261">
        <f>G85</f>
        <v>5</v>
      </c>
      <c r="H84" s="261">
        <f>H85</f>
        <v>1.7</v>
      </c>
      <c r="I84" s="261">
        <f>I85</f>
        <v>0</v>
      </c>
      <c r="J84" s="261"/>
      <c r="K84" s="261">
        <f>K85</f>
        <v>0</v>
      </c>
      <c r="L84" s="261"/>
      <c r="M84" s="261"/>
      <c r="N84" s="261"/>
    </row>
    <row r="85" spans="1:14" s="10" customFormat="1" ht="66" customHeight="1" x14ac:dyDescent="0.25">
      <c r="A85" s="42">
        <v>2013112</v>
      </c>
      <c r="B85" s="21" t="s">
        <v>150</v>
      </c>
      <c r="C85" s="49" t="s">
        <v>53</v>
      </c>
      <c r="D85" s="72" t="s">
        <v>151</v>
      </c>
      <c r="E85" s="69"/>
      <c r="F85" s="62" t="s">
        <v>282</v>
      </c>
      <c r="G85" s="261">
        <v>5</v>
      </c>
      <c r="H85" s="261">
        <v>1.7</v>
      </c>
      <c r="I85" s="261">
        <v>0</v>
      </c>
      <c r="J85" s="261"/>
      <c r="K85" s="261"/>
      <c r="L85" s="261"/>
      <c r="M85" s="261"/>
      <c r="N85" s="261"/>
    </row>
    <row r="86" spans="1:14" s="73" customFormat="1" ht="35.25" customHeight="1" x14ac:dyDescent="0.25">
      <c r="A86" s="48"/>
      <c r="B86" s="49"/>
      <c r="C86" s="49"/>
      <c r="D86" s="197" t="s">
        <v>50</v>
      </c>
      <c r="E86" s="197"/>
      <c r="F86" s="198"/>
      <c r="G86" s="262">
        <f>G84</f>
        <v>5</v>
      </c>
      <c r="H86" s="262">
        <f>H84</f>
        <v>1.7</v>
      </c>
      <c r="I86" s="262">
        <f>I84</f>
        <v>0</v>
      </c>
      <c r="J86" s="262">
        <f>I86/G86*100</f>
        <v>0</v>
      </c>
      <c r="K86" s="262">
        <f>K84</f>
        <v>0</v>
      </c>
      <c r="L86" s="262"/>
      <c r="M86" s="262"/>
      <c r="N86" s="262"/>
    </row>
    <row r="87" spans="1:14" s="65" customFormat="1" ht="58.5" customHeight="1" x14ac:dyDescent="0.25">
      <c r="A87" s="169">
        <v>2400000</v>
      </c>
      <c r="B87" s="176"/>
      <c r="C87" s="176"/>
      <c r="D87" s="171" t="s">
        <v>152</v>
      </c>
      <c r="E87" s="184"/>
      <c r="F87" s="173"/>
      <c r="G87" s="265"/>
      <c r="H87" s="265"/>
      <c r="I87" s="265"/>
      <c r="J87" s="265"/>
      <c r="K87" s="265"/>
      <c r="L87" s="265"/>
      <c r="M87" s="265"/>
      <c r="N87" s="265"/>
    </row>
    <row r="88" spans="1:14" s="65" customFormat="1" ht="60.75" customHeight="1" x14ac:dyDescent="0.25">
      <c r="A88" s="169">
        <v>2410000</v>
      </c>
      <c r="B88" s="176"/>
      <c r="C88" s="176"/>
      <c r="D88" s="174" t="s">
        <v>152</v>
      </c>
      <c r="E88" s="184"/>
      <c r="F88" s="173"/>
      <c r="G88" s="265"/>
      <c r="H88" s="265"/>
      <c r="I88" s="265"/>
      <c r="J88" s="265"/>
      <c r="K88" s="265"/>
      <c r="L88" s="265"/>
      <c r="M88" s="265"/>
      <c r="N88" s="265"/>
    </row>
    <row r="89" spans="1:14" s="74" customFormat="1" ht="50.25" customHeight="1" x14ac:dyDescent="0.25">
      <c r="A89" s="42">
        <v>2413140</v>
      </c>
      <c r="B89" s="21" t="s">
        <v>153</v>
      </c>
      <c r="C89" s="21" t="s">
        <v>53</v>
      </c>
      <c r="D89" s="158" t="s">
        <v>251</v>
      </c>
      <c r="E89" s="28"/>
      <c r="F89" s="210" t="s">
        <v>154</v>
      </c>
      <c r="G89" s="270">
        <f>G90</f>
        <v>85</v>
      </c>
      <c r="H89" s="270">
        <f>H90</f>
        <v>45</v>
      </c>
      <c r="I89" s="270">
        <f>I90</f>
        <v>42.3</v>
      </c>
      <c r="J89" s="270">
        <f>I89/G89*100</f>
        <v>49.764705882352942</v>
      </c>
      <c r="K89" s="270">
        <f>SUM(K91:K93)</f>
        <v>0</v>
      </c>
      <c r="L89" s="270"/>
      <c r="M89" s="270"/>
      <c r="N89" s="270"/>
    </row>
    <row r="90" spans="1:14" s="74" customFormat="1" ht="85.5" customHeight="1" x14ac:dyDescent="0.3">
      <c r="A90" s="159" t="s">
        <v>249</v>
      </c>
      <c r="B90" s="159" t="s">
        <v>250</v>
      </c>
      <c r="C90" s="159" t="s">
        <v>53</v>
      </c>
      <c r="D90" s="158" t="s">
        <v>252</v>
      </c>
      <c r="E90" s="28"/>
      <c r="F90" s="43"/>
      <c r="G90" s="261">
        <f>SUM(G91:G93)</f>
        <v>85</v>
      </c>
      <c r="H90" s="261">
        <f>SUM(H91:H93)</f>
        <v>45</v>
      </c>
      <c r="I90" s="261">
        <f>SUM(I91:I93)</f>
        <v>42.3</v>
      </c>
      <c r="J90" s="261">
        <f>I90/G90*100</f>
        <v>49.764705882352942</v>
      </c>
      <c r="K90" s="261">
        <f t="shared" ref="K90" si="7">SUM(K91:K93)</f>
        <v>0</v>
      </c>
      <c r="L90" s="261"/>
      <c r="M90" s="261"/>
      <c r="N90" s="261"/>
    </row>
    <row r="91" spans="1:14" s="10" customFormat="1" ht="69" customHeight="1" x14ac:dyDescent="0.25">
      <c r="A91" s="24"/>
      <c r="B91" s="24"/>
      <c r="C91" s="24"/>
      <c r="D91" s="160" t="s">
        <v>178</v>
      </c>
      <c r="E91" s="57"/>
      <c r="F91" s="43" t="s">
        <v>155</v>
      </c>
      <c r="G91" s="260">
        <v>50</v>
      </c>
      <c r="H91" s="260">
        <v>20</v>
      </c>
      <c r="I91" s="260">
        <v>18.5</v>
      </c>
      <c r="J91" s="260"/>
      <c r="K91" s="261"/>
      <c r="L91" s="261"/>
      <c r="M91" s="261"/>
      <c r="N91" s="261"/>
    </row>
    <row r="92" spans="1:14" s="65" customFormat="1" ht="41.25" customHeight="1" x14ac:dyDescent="0.25">
      <c r="A92" s="21"/>
      <c r="B92" s="21"/>
      <c r="C92" s="21"/>
      <c r="D92" s="28"/>
      <c r="E92" s="28"/>
      <c r="F92" s="43" t="s">
        <v>156</v>
      </c>
      <c r="G92" s="260">
        <v>25</v>
      </c>
      <c r="H92" s="260">
        <v>25</v>
      </c>
      <c r="I92" s="260">
        <v>23.8</v>
      </c>
      <c r="J92" s="260"/>
      <c r="K92" s="261"/>
      <c r="L92" s="261"/>
      <c r="M92" s="261"/>
      <c r="N92" s="261"/>
    </row>
    <row r="93" spans="1:14" s="65" customFormat="1" ht="24.75" customHeight="1" x14ac:dyDescent="0.25">
      <c r="A93" s="21"/>
      <c r="B93" s="21"/>
      <c r="C93" s="21"/>
      <c r="D93" s="28"/>
      <c r="E93" s="28"/>
      <c r="F93" s="60" t="s">
        <v>157</v>
      </c>
      <c r="G93" s="260">
        <v>10</v>
      </c>
      <c r="H93" s="260">
        <v>0</v>
      </c>
      <c r="I93" s="260">
        <v>0</v>
      </c>
      <c r="J93" s="260"/>
      <c r="K93" s="260"/>
      <c r="L93" s="260"/>
      <c r="M93" s="260"/>
      <c r="N93" s="260"/>
    </row>
    <row r="94" spans="1:14" s="65" customFormat="1" ht="72.75" customHeight="1" x14ac:dyDescent="0.25">
      <c r="A94" s="21"/>
      <c r="B94" s="21"/>
      <c r="C94" s="21"/>
      <c r="D94" s="47"/>
      <c r="E94" s="47"/>
      <c r="F94" s="210" t="s">
        <v>158</v>
      </c>
      <c r="G94" s="270">
        <f>G95+G96+G99</f>
        <v>1117</v>
      </c>
      <c r="H94" s="270">
        <f>H95+H96+H99</f>
        <v>867.3</v>
      </c>
      <c r="I94" s="270">
        <f>I95+I96+I99</f>
        <v>695</v>
      </c>
      <c r="J94" s="270">
        <f>I94/G94*100</f>
        <v>62.220232766338398</v>
      </c>
      <c r="K94" s="270">
        <f>K95+K96+K99</f>
        <v>264</v>
      </c>
      <c r="L94" s="270">
        <f>L95+L96+L99</f>
        <v>264</v>
      </c>
      <c r="M94" s="270">
        <f>M95+M96+M99</f>
        <v>251.9</v>
      </c>
      <c r="N94" s="270">
        <f>M94/K94*100</f>
        <v>95.416666666666671</v>
      </c>
    </row>
    <row r="95" spans="1:14" s="65" customFormat="1" ht="117.75" customHeight="1" x14ac:dyDescent="0.25">
      <c r="A95" s="49" t="s">
        <v>159</v>
      </c>
      <c r="B95" s="21" t="s">
        <v>160</v>
      </c>
      <c r="C95" s="21" t="s">
        <v>161</v>
      </c>
      <c r="D95" s="28" t="s">
        <v>162</v>
      </c>
      <c r="E95" s="47"/>
      <c r="F95" s="43" t="s">
        <v>459</v>
      </c>
      <c r="G95" s="260">
        <v>617</v>
      </c>
      <c r="H95" s="260">
        <v>464.5</v>
      </c>
      <c r="I95" s="260">
        <v>442.9</v>
      </c>
      <c r="J95" s="260">
        <f>I95/G95*100</f>
        <v>71.782820097244723</v>
      </c>
      <c r="K95" s="261">
        <v>264</v>
      </c>
      <c r="L95" s="261">
        <v>264</v>
      </c>
      <c r="M95" s="261">
        <v>251.9</v>
      </c>
      <c r="N95" s="261"/>
    </row>
    <row r="96" spans="1:14" s="65" customFormat="1" ht="33.75" customHeight="1" x14ac:dyDescent="0.25">
      <c r="A96" s="11" t="s">
        <v>164</v>
      </c>
      <c r="B96" s="11" t="s">
        <v>165</v>
      </c>
      <c r="C96" s="21"/>
      <c r="D96" s="67" t="s">
        <v>166</v>
      </c>
      <c r="E96" s="212"/>
      <c r="F96" s="210"/>
      <c r="G96" s="271">
        <f>G97+G98</f>
        <v>300.2</v>
      </c>
      <c r="H96" s="271">
        <f>H97+H98</f>
        <v>209.4</v>
      </c>
      <c r="I96" s="271">
        <f>I97+I98</f>
        <v>145.10000000000002</v>
      </c>
      <c r="J96" s="271"/>
      <c r="K96" s="271">
        <f>K97+K98</f>
        <v>0</v>
      </c>
      <c r="L96" s="271"/>
      <c r="M96" s="271"/>
      <c r="N96" s="271"/>
    </row>
    <row r="97" spans="1:14" s="10" customFormat="1" ht="54.75" customHeight="1" x14ac:dyDescent="0.25">
      <c r="A97" s="42">
        <v>2415011</v>
      </c>
      <c r="B97" s="42">
        <v>5011</v>
      </c>
      <c r="C97" s="21" t="s">
        <v>167</v>
      </c>
      <c r="D97" s="67" t="s">
        <v>168</v>
      </c>
      <c r="E97" s="66"/>
      <c r="F97" s="43" t="s">
        <v>169</v>
      </c>
      <c r="G97" s="260">
        <v>173.2</v>
      </c>
      <c r="H97" s="260">
        <v>112.9</v>
      </c>
      <c r="I97" s="260">
        <v>77.900000000000006</v>
      </c>
      <c r="J97" s="260"/>
      <c r="K97" s="272"/>
      <c r="L97" s="272"/>
      <c r="M97" s="272"/>
      <c r="N97" s="272"/>
    </row>
    <row r="98" spans="1:14" s="65" customFormat="1" ht="56.25" customHeight="1" x14ac:dyDescent="0.25">
      <c r="A98" s="42">
        <v>2415012</v>
      </c>
      <c r="B98" s="21" t="s">
        <v>170</v>
      </c>
      <c r="C98" s="21" t="s">
        <v>167</v>
      </c>
      <c r="D98" s="43" t="s">
        <v>171</v>
      </c>
      <c r="E98" s="43" t="s">
        <v>171</v>
      </c>
      <c r="F98" s="43" t="s">
        <v>172</v>
      </c>
      <c r="G98" s="260">
        <v>127</v>
      </c>
      <c r="H98" s="260">
        <v>96.5</v>
      </c>
      <c r="I98" s="260">
        <v>67.2</v>
      </c>
      <c r="J98" s="260"/>
      <c r="K98" s="261"/>
      <c r="L98" s="261"/>
      <c r="M98" s="261"/>
      <c r="N98" s="261"/>
    </row>
    <row r="99" spans="1:14" s="74" customFormat="1" ht="44.25" customHeight="1" x14ac:dyDescent="0.25">
      <c r="A99" s="42">
        <v>2412060</v>
      </c>
      <c r="B99" s="21" t="s">
        <v>173</v>
      </c>
      <c r="C99" s="21" t="s">
        <v>167</v>
      </c>
      <c r="D99" s="67" t="s">
        <v>253</v>
      </c>
      <c r="E99" s="28"/>
      <c r="F99" s="210"/>
      <c r="G99" s="271">
        <f>G100</f>
        <v>199.8</v>
      </c>
      <c r="H99" s="271">
        <f>H100</f>
        <v>193.4</v>
      </c>
      <c r="I99" s="271">
        <f>I100</f>
        <v>107</v>
      </c>
      <c r="J99" s="271"/>
      <c r="K99" s="271"/>
      <c r="L99" s="271"/>
      <c r="M99" s="271"/>
      <c r="N99" s="271"/>
    </row>
    <row r="100" spans="1:14" s="74" customFormat="1" ht="166.5" customHeight="1" x14ac:dyDescent="0.25">
      <c r="A100" s="11" t="s">
        <v>255</v>
      </c>
      <c r="B100" s="11" t="s">
        <v>256</v>
      </c>
      <c r="C100" s="11" t="s">
        <v>167</v>
      </c>
      <c r="D100" s="67" t="s">
        <v>254</v>
      </c>
      <c r="E100" s="28"/>
      <c r="F100" s="43" t="s">
        <v>174</v>
      </c>
      <c r="G100" s="260">
        <v>199.8</v>
      </c>
      <c r="H100" s="260">
        <v>193.4</v>
      </c>
      <c r="I100" s="260">
        <v>107</v>
      </c>
      <c r="J100" s="260"/>
      <c r="K100" s="260"/>
      <c r="L100" s="260"/>
      <c r="M100" s="260"/>
      <c r="N100" s="260"/>
    </row>
    <row r="101" spans="1:14" s="74" customFormat="1" ht="42.75" customHeight="1" x14ac:dyDescent="0.25">
      <c r="A101" s="11"/>
      <c r="B101" s="11"/>
      <c r="C101" s="11"/>
      <c r="D101" s="67"/>
      <c r="E101" s="28"/>
      <c r="F101" s="13" t="s">
        <v>413</v>
      </c>
      <c r="G101" s="260">
        <f>G103+G102+G104+G105</f>
        <v>224.82999999999998</v>
      </c>
      <c r="H101" s="260">
        <f>H103+H102+H104+H105</f>
        <v>220.7</v>
      </c>
      <c r="I101" s="260">
        <f>I103+I102+I104+I105</f>
        <v>115</v>
      </c>
      <c r="J101" s="260">
        <f>I101/G101*100</f>
        <v>51.149757594627054</v>
      </c>
      <c r="K101" s="260"/>
      <c r="L101" s="260"/>
      <c r="M101" s="260"/>
      <c r="N101" s="260"/>
    </row>
    <row r="102" spans="1:14" s="228" customFormat="1" ht="78" customHeight="1" x14ac:dyDescent="0.25">
      <c r="A102" s="21" t="s">
        <v>398</v>
      </c>
      <c r="B102" s="21"/>
      <c r="C102" s="21" t="s">
        <v>161</v>
      </c>
      <c r="D102" s="28" t="s">
        <v>399</v>
      </c>
      <c r="E102" s="47"/>
      <c r="F102" s="43" t="s">
        <v>400</v>
      </c>
      <c r="G102" s="260">
        <v>100</v>
      </c>
      <c r="H102" s="260">
        <v>100</v>
      </c>
      <c r="I102" s="260">
        <v>96.7</v>
      </c>
      <c r="J102" s="260"/>
      <c r="K102" s="261"/>
      <c r="L102" s="261"/>
      <c r="M102" s="261"/>
      <c r="N102" s="261"/>
    </row>
    <row r="103" spans="1:14" s="74" customFormat="1" ht="73.5" customHeight="1" x14ac:dyDescent="0.25">
      <c r="A103" s="289" t="s">
        <v>414</v>
      </c>
      <c r="B103" s="289" t="s">
        <v>415</v>
      </c>
      <c r="C103" s="289" t="s">
        <v>416</v>
      </c>
      <c r="D103" s="293" t="s">
        <v>417</v>
      </c>
      <c r="E103" s="290"/>
      <c r="F103" s="291" t="s">
        <v>452</v>
      </c>
      <c r="G103" s="292">
        <v>88.7</v>
      </c>
      <c r="H103" s="292">
        <v>88.7</v>
      </c>
      <c r="I103" s="292">
        <v>18.3</v>
      </c>
      <c r="J103" s="260"/>
      <c r="K103" s="260"/>
      <c r="L103" s="260"/>
      <c r="M103" s="260"/>
      <c r="N103" s="260"/>
    </row>
    <row r="104" spans="1:14" s="74" customFormat="1" ht="73.5" customHeight="1" x14ac:dyDescent="0.25">
      <c r="A104" s="301">
        <v>2415012</v>
      </c>
      <c r="B104" s="289" t="s">
        <v>170</v>
      </c>
      <c r="C104" s="289" t="s">
        <v>167</v>
      </c>
      <c r="D104" s="302" t="s">
        <v>171</v>
      </c>
      <c r="E104" s="290"/>
      <c r="F104" s="291" t="s">
        <v>453</v>
      </c>
      <c r="G104" s="292">
        <v>32</v>
      </c>
      <c r="H104" s="292">
        <v>32</v>
      </c>
      <c r="I104" s="292">
        <v>0</v>
      </c>
      <c r="J104" s="260"/>
      <c r="K104" s="260"/>
      <c r="L104" s="260"/>
      <c r="M104" s="260"/>
      <c r="N104" s="260"/>
    </row>
    <row r="105" spans="1:14" s="74" customFormat="1" ht="73.5" customHeight="1" x14ac:dyDescent="0.25">
      <c r="A105" s="289" t="s">
        <v>455</v>
      </c>
      <c r="B105" s="289" t="s">
        <v>456</v>
      </c>
      <c r="C105" s="289" t="s">
        <v>167</v>
      </c>
      <c r="D105" s="293" t="s">
        <v>454</v>
      </c>
      <c r="E105" s="290"/>
      <c r="F105" s="291" t="s">
        <v>457</v>
      </c>
      <c r="G105" s="292">
        <v>4.13</v>
      </c>
      <c r="H105" s="292">
        <v>0</v>
      </c>
      <c r="I105" s="292">
        <v>0</v>
      </c>
      <c r="J105" s="260"/>
      <c r="K105" s="260"/>
      <c r="L105" s="260"/>
      <c r="M105" s="260"/>
      <c r="N105" s="260"/>
    </row>
    <row r="106" spans="1:14" s="10" customFormat="1" ht="23.25" customHeight="1" x14ac:dyDescent="0.25">
      <c r="A106" s="24"/>
      <c r="B106" s="77"/>
      <c r="C106" s="77"/>
      <c r="D106" s="197" t="s">
        <v>50</v>
      </c>
      <c r="E106" s="203"/>
      <c r="F106" s="196"/>
      <c r="G106" s="262">
        <f>G89+G94+G101</f>
        <v>1426.83</v>
      </c>
      <c r="H106" s="262">
        <f>H89+H94+H101</f>
        <v>1133</v>
      </c>
      <c r="I106" s="262">
        <f>I89+I94+I101</f>
        <v>852.3</v>
      </c>
      <c r="J106" s="262">
        <f>I106/G106*100</f>
        <v>59.733815521120249</v>
      </c>
      <c r="K106" s="262">
        <f>K89+K94</f>
        <v>264</v>
      </c>
      <c r="L106" s="262">
        <f>L89+L94</f>
        <v>264</v>
      </c>
      <c r="M106" s="262">
        <f>M89+M94</f>
        <v>251.9</v>
      </c>
      <c r="N106" s="262"/>
    </row>
    <row r="107" spans="1:14" s="65" customFormat="1" ht="98.25" customHeight="1" x14ac:dyDescent="0.25">
      <c r="A107" s="169">
        <v>4000000</v>
      </c>
      <c r="B107" s="185"/>
      <c r="C107" s="185"/>
      <c r="D107" s="186" t="s">
        <v>408</v>
      </c>
      <c r="E107" s="172"/>
      <c r="F107" s="173"/>
      <c r="G107" s="265"/>
      <c r="H107" s="265"/>
      <c r="I107" s="265"/>
      <c r="J107" s="265"/>
      <c r="K107" s="265"/>
      <c r="L107" s="265"/>
      <c r="M107" s="265"/>
      <c r="N107" s="265"/>
    </row>
    <row r="108" spans="1:14" s="74" customFormat="1" ht="76.5" customHeight="1" x14ac:dyDescent="0.25">
      <c r="A108" s="187">
        <v>4010000</v>
      </c>
      <c r="B108" s="185"/>
      <c r="C108" s="185"/>
      <c r="D108" s="188" t="s">
        <v>408</v>
      </c>
      <c r="E108" s="172"/>
      <c r="F108" s="189"/>
      <c r="G108" s="267"/>
      <c r="H108" s="267"/>
      <c r="I108" s="267"/>
      <c r="J108" s="267"/>
      <c r="K108" s="267"/>
      <c r="L108" s="267"/>
      <c r="M108" s="267"/>
      <c r="N108" s="267"/>
    </row>
    <row r="109" spans="1:14" s="74" customFormat="1" ht="53.25" customHeight="1" x14ac:dyDescent="0.25">
      <c r="A109" s="42"/>
      <c r="B109" s="42"/>
      <c r="C109" s="42"/>
      <c r="D109" s="43"/>
      <c r="E109" s="41"/>
      <c r="F109" s="43" t="s">
        <v>176</v>
      </c>
      <c r="G109" s="261">
        <f>G110+G120+G122+G125+G133+G138</f>
        <v>21221.7</v>
      </c>
      <c r="H109" s="261">
        <f>H110+H120+H122+H125+H133+H138</f>
        <v>16629.832999999999</v>
      </c>
      <c r="I109" s="261">
        <f>I110+I120+I122+I125+I133+I138</f>
        <v>13874.65</v>
      </c>
      <c r="J109" s="261">
        <f>I109/G109*100</f>
        <v>65.379540753097061</v>
      </c>
      <c r="K109" s="261">
        <f>K110+K120+K122+K125+K133+K138</f>
        <v>8538.7919999999995</v>
      </c>
      <c r="L109" s="261">
        <f>L110+L120+L122+L125+L133+L138</f>
        <v>7221.9920000000002</v>
      </c>
      <c r="M109" s="261">
        <f>M110+M120+M122+M125+M133+M138</f>
        <v>4261.5744400000003</v>
      </c>
      <c r="N109" s="261">
        <f>M109/K109*100</f>
        <v>49.908399689323737</v>
      </c>
    </row>
    <row r="110" spans="1:14" s="74" customFormat="1" ht="81" customHeight="1" x14ac:dyDescent="0.25">
      <c r="A110" s="42">
        <v>4016010</v>
      </c>
      <c r="B110" s="42">
        <v>6010</v>
      </c>
      <c r="C110" s="42">
        <v>610</v>
      </c>
      <c r="D110" s="43" t="s">
        <v>177</v>
      </c>
      <c r="E110" s="41"/>
      <c r="F110" s="43"/>
      <c r="G110" s="261">
        <f>SUM(G111:G119)</f>
        <v>3634.6</v>
      </c>
      <c r="H110" s="261">
        <f>SUM(H111:H119)</f>
        <v>3234.6</v>
      </c>
      <c r="I110" s="261">
        <f>SUM(I111:I119)</f>
        <v>2945.1</v>
      </c>
      <c r="J110" s="261">
        <f>SUM(J111:J124)</f>
        <v>28.000000000000004</v>
      </c>
      <c r="K110" s="260"/>
      <c r="L110" s="260"/>
      <c r="M110" s="260"/>
      <c r="N110" s="260"/>
    </row>
    <row r="111" spans="1:14" s="74" customFormat="1" ht="108.75" customHeight="1" x14ac:dyDescent="0.25">
      <c r="A111" s="42"/>
      <c r="B111" s="42"/>
      <c r="C111" s="42"/>
      <c r="D111" s="80" t="s">
        <v>178</v>
      </c>
      <c r="E111" s="41"/>
      <c r="F111" s="43" t="s">
        <v>179</v>
      </c>
      <c r="G111" s="260">
        <v>507</v>
      </c>
      <c r="H111" s="260">
        <v>507</v>
      </c>
      <c r="I111" s="260">
        <v>501.4</v>
      </c>
      <c r="J111" s="260"/>
      <c r="K111" s="260"/>
      <c r="L111" s="260"/>
      <c r="M111" s="260"/>
      <c r="N111" s="260"/>
    </row>
    <row r="112" spans="1:14" s="74" customFormat="1" ht="73.5" customHeight="1" x14ac:dyDescent="0.25">
      <c r="A112" s="42"/>
      <c r="B112" s="42"/>
      <c r="C112" s="42"/>
      <c r="D112" s="80"/>
      <c r="E112" s="41"/>
      <c r="F112" s="43" t="s">
        <v>432</v>
      </c>
      <c r="G112" s="278">
        <v>130</v>
      </c>
      <c r="H112" s="278">
        <v>80</v>
      </c>
      <c r="I112" s="278">
        <v>27.9</v>
      </c>
      <c r="J112" s="260"/>
      <c r="K112" s="260"/>
      <c r="L112" s="260"/>
      <c r="M112" s="260"/>
      <c r="N112" s="260"/>
    </row>
    <row r="113" spans="1:14" s="74" customFormat="1" ht="49.5" customHeight="1" x14ac:dyDescent="0.25">
      <c r="A113" s="42"/>
      <c r="B113" s="42"/>
      <c r="C113" s="42"/>
      <c r="D113" s="43"/>
      <c r="E113" s="41"/>
      <c r="F113" s="43" t="s">
        <v>180</v>
      </c>
      <c r="G113" s="260">
        <v>2000</v>
      </c>
      <c r="H113" s="260">
        <v>2000</v>
      </c>
      <c r="I113" s="260">
        <f>1817.8+0.1</f>
        <v>1817.8999999999999</v>
      </c>
      <c r="J113" s="260"/>
      <c r="K113" s="260"/>
      <c r="L113" s="260"/>
      <c r="M113" s="260"/>
      <c r="N113" s="260"/>
    </row>
    <row r="114" spans="1:14" s="74" customFormat="1" ht="41.25" customHeight="1" x14ac:dyDescent="0.25">
      <c r="A114" s="42"/>
      <c r="B114" s="42"/>
      <c r="C114" s="42"/>
      <c r="D114" s="43"/>
      <c r="E114" s="41"/>
      <c r="F114" s="43" t="s">
        <v>263</v>
      </c>
      <c r="G114" s="260">
        <f>214-17</f>
        <v>197</v>
      </c>
      <c r="H114" s="260">
        <v>197</v>
      </c>
      <c r="I114" s="260">
        <v>197</v>
      </c>
      <c r="J114" s="260"/>
      <c r="K114" s="260"/>
      <c r="L114" s="260"/>
      <c r="M114" s="260"/>
      <c r="N114" s="260"/>
    </row>
    <row r="115" spans="1:14" s="74" customFormat="1" ht="82.5" customHeight="1" x14ac:dyDescent="0.25">
      <c r="A115" s="42"/>
      <c r="B115" s="42"/>
      <c r="C115" s="42"/>
      <c r="D115" s="43"/>
      <c r="E115" s="41"/>
      <c r="F115" s="43" t="s">
        <v>468</v>
      </c>
      <c r="G115" s="260">
        <f>147.6+340</f>
        <v>487.6</v>
      </c>
      <c r="H115" s="260">
        <v>147.6</v>
      </c>
      <c r="I115" s="260">
        <v>142.19999999999999</v>
      </c>
      <c r="J115" s="260"/>
      <c r="K115" s="260"/>
      <c r="L115" s="260"/>
      <c r="M115" s="260"/>
      <c r="N115" s="260"/>
    </row>
    <row r="116" spans="1:14" s="74" customFormat="1" ht="49.5" customHeight="1" x14ac:dyDescent="0.25">
      <c r="A116" s="42"/>
      <c r="B116" s="42"/>
      <c r="C116" s="42"/>
      <c r="D116" s="43"/>
      <c r="E116" s="41"/>
      <c r="F116" s="43" t="s">
        <v>311</v>
      </c>
      <c r="G116" s="260">
        <v>145</v>
      </c>
      <c r="H116" s="260">
        <v>145</v>
      </c>
      <c r="I116" s="260">
        <v>139.4</v>
      </c>
      <c r="J116" s="260"/>
      <c r="K116" s="260"/>
      <c r="L116" s="260"/>
      <c r="M116" s="260"/>
      <c r="N116" s="260"/>
    </row>
    <row r="117" spans="1:14" s="74" customFormat="1" ht="49.5" hidden="1" customHeight="1" x14ac:dyDescent="0.25">
      <c r="A117" s="42"/>
      <c r="B117" s="42"/>
      <c r="C117" s="42"/>
      <c r="D117" s="43"/>
      <c r="E117" s="41"/>
      <c r="F117" s="43" t="s">
        <v>312</v>
      </c>
      <c r="G117" s="260">
        <f>62-62</f>
        <v>0</v>
      </c>
      <c r="H117" s="260">
        <v>0</v>
      </c>
      <c r="I117" s="260">
        <v>0</v>
      </c>
      <c r="J117" s="260"/>
      <c r="K117" s="260"/>
      <c r="L117" s="260"/>
      <c r="M117" s="260"/>
      <c r="N117" s="260"/>
    </row>
    <row r="118" spans="1:14" s="74" customFormat="1" ht="68.25" customHeight="1" x14ac:dyDescent="0.25">
      <c r="A118" s="42"/>
      <c r="B118" s="42"/>
      <c r="C118" s="42"/>
      <c r="D118" s="43"/>
      <c r="E118" s="41"/>
      <c r="F118" s="43" t="s">
        <v>301</v>
      </c>
      <c r="G118" s="260">
        <v>94</v>
      </c>
      <c r="H118" s="260">
        <v>84</v>
      </c>
      <c r="I118" s="260">
        <v>47.9</v>
      </c>
      <c r="J118" s="260"/>
      <c r="K118" s="260"/>
      <c r="L118" s="260"/>
      <c r="M118" s="260"/>
      <c r="N118" s="260"/>
    </row>
    <row r="119" spans="1:14" s="74" customFormat="1" ht="53.25" customHeight="1" x14ac:dyDescent="0.25">
      <c r="A119" s="42"/>
      <c r="B119" s="42"/>
      <c r="C119" s="42"/>
      <c r="D119" s="43"/>
      <c r="E119" s="41"/>
      <c r="F119" s="43" t="s">
        <v>377</v>
      </c>
      <c r="G119" s="260">
        <v>74</v>
      </c>
      <c r="H119" s="260">
        <v>74</v>
      </c>
      <c r="I119" s="260">
        <v>71.400000000000006</v>
      </c>
      <c r="J119" s="260"/>
      <c r="K119" s="260"/>
      <c r="L119" s="260"/>
      <c r="M119" s="260"/>
      <c r="N119" s="260"/>
    </row>
    <row r="120" spans="1:14" s="74" customFormat="1" ht="36.75" customHeight="1" x14ac:dyDescent="0.25">
      <c r="A120" s="11" t="s">
        <v>181</v>
      </c>
      <c r="B120" s="11" t="s">
        <v>182</v>
      </c>
      <c r="C120" s="42"/>
      <c r="D120" s="43" t="s">
        <v>183</v>
      </c>
      <c r="E120" s="43" t="s">
        <v>183</v>
      </c>
      <c r="F120" s="43"/>
      <c r="G120" s="261">
        <f>G121</f>
        <v>0</v>
      </c>
      <c r="H120" s="261"/>
      <c r="I120" s="261"/>
      <c r="J120" s="261"/>
      <c r="K120" s="261">
        <f>K121</f>
        <v>5141.7</v>
      </c>
      <c r="L120" s="261">
        <f>L121</f>
        <v>3881.7</v>
      </c>
      <c r="M120" s="261">
        <f>M121</f>
        <v>2266.5159899999999</v>
      </c>
      <c r="N120" s="261">
        <f>M120/K120*100</f>
        <v>44.081062489060038</v>
      </c>
    </row>
    <row r="121" spans="1:14" s="224" customFormat="1" ht="51.75" customHeight="1" x14ac:dyDescent="0.25">
      <c r="A121" s="42">
        <v>4016021</v>
      </c>
      <c r="B121" s="42">
        <v>6021</v>
      </c>
      <c r="C121" s="42">
        <v>610</v>
      </c>
      <c r="D121" s="43" t="s">
        <v>184</v>
      </c>
      <c r="E121" s="43" t="s">
        <v>184</v>
      </c>
      <c r="F121" s="43" t="s">
        <v>290</v>
      </c>
      <c r="G121" s="260"/>
      <c r="H121" s="260"/>
      <c r="I121" s="260"/>
      <c r="J121" s="260"/>
      <c r="K121" s="260">
        <f>306.7+10+2200+1320+700+605</f>
        <v>5141.7</v>
      </c>
      <c r="L121" s="260">
        <f>306.7+10+1700+1020+240+605</f>
        <v>3881.7</v>
      </c>
      <c r="M121" s="260">
        <f>8.17312+1165.25808+379.2838+208.96663+504.83436</f>
        <v>2266.5159899999999</v>
      </c>
      <c r="N121" s="260"/>
    </row>
    <row r="122" spans="1:14" s="74" customFormat="1" ht="38.25" customHeight="1" x14ac:dyDescent="0.25">
      <c r="A122" s="11" t="s">
        <v>185</v>
      </c>
      <c r="B122" s="11" t="s">
        <v>186</v>
      </c>
      <c r="C122" s="42"/>
      <c r="D122" s="156" t="s">
        <v>187</v>
      </c>
      <c r="E122" s="41"/>
      <c r="F122" s="43"/>
      <c r="G122" s="261">
        <f>G124</f>
        <v>600</v>
      </c>
      <c r="H122" s="261">
        <f t="shared" ref="H122:I122" si="8">H124</f>
        <v>600</v>
      </c>
      <c r="I122" s="261">
        <f t="shared" si="8"/>
        <v>168</v>
      </c>
      <c r="J122" s="261">
        <f>I122/G122*100</f>
        <v>28.000000000000004</v>
      </c>
      <c r="K122" s="261">
        <f>K123</f>
        <v>633</v>
      </c>
      <c r="L122" s="261">
        <f>L123</f>
        <v>633</v>
      </c>
      <c r="M122" s="261">
        <f>M123</f>
        <v>0</v>
      </c>
      <c r="N122" s="261">
        <f>M122/K122*100</f>
        <v>0</v>
      </c>
    </row>
    <row r="123" spans="1:14" s="74" customFormat="1" ht="66" customHeight="1" x14ac:dyDescent="0.25">
      <c r="A123" s="11" t="s">
        <v>188</v>
      </c>
      <c r="B123" s="11" t="s">
        <v>189</v>
      </c>
      <c r="C123" s="11" t="s">
        <v>190</v>
      </c>
      <c r="D123" s="43" t="s">
        <v>191</v>
      </c>
      <c r="E123" s="41"/>
      <c r="F123" s="43" t="s">
        <v>264</v>
      </c>
      <c r="G123" s="260"/>
      <c r="H123" s="260"/>
      <c r="I123" s="260"/>
      <c r="J123" s="260"/>
      <c r="K123" s="260">
        <v>633</v>
      </c>
      <c r="L123" s="260">
        <v>633</v>
      </c>
      <c r="M123" s="260">
        <v>0</v>
      </c>
      <c r="N123" s="260"/>
    </row>
    <row r="124" spans="1:14" s="74" customFormat="1" ht="66" customHeight="1" x14ac:dyDescent="0.25">
      <c r="A124" s="11"/>
      <c r="B124" s="11"/>
      <c r="C124" s="11"/>
      <c r="D124" s="43"/>
      <c r="E124" s="41"/>
      <c r="F124" s="43" t="s">
        <v>471</v>
      </c>
      <c r="G124" s="260">
        <v>600</v>
      </c>
      <c r="H124" s="260">
        <v>600</v>
      </c>
      <c r="I124" s="260">
        <v>168</v>
      </c>
      <c r="J124" s="260"/>
      <c r="K124" s="260"/>
      <c r="L124" s="260"/>
      <c r="M124" s="260"/>
      <c r="N124" s="260"/>
    </row>
    <row r="125" spans="1:14" s="74" customFormat="1" ht="23.25" customHeight="1" x14ac:dyDescent="0.25">
      <c r="A125" s="42">
        <v>4016060</v>
      </c>
      <c r="B125" s="42">
        <v>6060</v>
      </c>
      <c r="C125" s="42">
        <v>620</v>
      </c>
      <c r="D125" s="43" t="s">
        <v>192</v>
      </c>
      <c r="E125" s="41"/>
      <c r="F125" s="43"/>
      <c r="G125" s="298">
        <f>SUM(G126:G132)</f>
        <v>16784.399999999998</v>
      </c>
      <c r="H125" s="298">
        <f>SUM(H126:H132)</f>
        <v>12592.532999999998</v>
      </c>
      <c r="I125" s="298">
        <f>SUM(I126:I132)</f>
        <v>10664.08</v>
      </c>
      <c r="J125" s="261">
        <f>I125/G125*100</f>
        <v>63.535664069016477</v>
      </c>
      <c r="K125" s="261">
        <f>329+1000+116.8+70+429+100+50+350</f>
        <v>2444.8000000000002</v>
      </c>
      <c r="L125" s="261">
        <f>329+1000+60+70+429+100+50+350</f>
        <v>2388</v>
      </c>
      <c r="M125" s="261">
        <f>322.2+939.6+63.45352+423.67106+29.84189+46.99998</f>
        <v>1825.7664499999998</v>
      </c>
      <c r="N125" s="261">
        <f>SUM(N126:N132)</f>
        <v>0</v>
      </c>
    </row>
    <row r="126" spans="1:14" s="74" customFormat="1" ht="51" customHeight="1" x14ac:dyDescent="0.25">
      <c r="A126" s="42"/>
      <c r="B126" s="42"/>
      <c r="C126" s="42"/>
      <c r="D126" s="80" t="s">
        <v>178</v>
      </c>
      <c r="E126" s="41"/>
      <c r="F126" s="43" t="s">
        <v>275</v>
      </c>
      <c r="G126" s="260">
        <v>10402.9</v>
      </c>
      <c r="H126" s="260">
        <v>7376.1</v>
      </c>
      <c r="I126" s="260">
        <f>6460.7+239</f>
        <v>6699.7</v>
      </c>
      <c r="J126" s="260"/>
      <c r="K126" s="260"/>
      <c r="L126" s="260"/>
      <c r="M126" s="260"/>
      <c r="N126" s="260"/>
    </row>
    <row r="127" spans="1:14" s="74" customFormat="1" ht="54.75" customHeight="1" x14ac:dyDescent="0.25">
      <c r="A127" s="42"/>
      <c r="B127" s="42"/>
      <c r="C127" s="42"/>
      <c r="D127" s="80"/>
      <c r="E127" s="41"/>
      <c r="F127" s="43" t="s">
        <v>302</v>
      </c>
      <c r="G127" s="296">
        <v>2976.2</v>
      </c>
      <c r="H127" s="296">
        <v>2900.2</v>
      </c>
      <c r="I127" s="296">
        <v>2405.09</v>
      </c>
      <c r="J127" s="260"/>
      <c r="K127" s="260"/>
      <c r="L127" s="260"/>
      <c r="M127" s="260"/>
      <c r="N127" s="260"/>
    </row>
    <row r="128" spans="1:14" s="74" customFormat="1" ht="56.25" customHeight="1" x14ac:dyDescent="0.25">
      <c r="A128" s="42"/>
      <c r="B128" s="42"/>
      <c r="C128" s="42"/>
      <c r="D128" s="80"/>
      <c r="E128" s="41"/>
      <c r="F128" s="43" t="s">
        <v>266</v>
      </c>
      <c r="G128" s="260">
        <v>2800</v>
      </c>
      <c r="H128" s="260">
        <f>910.5+228.6+223.611+219.611+228.611</f>
        <v>1810.9329999999995</v>
      </c>
      <c r="I128" s="260">
        <v>1253.99</v>
      </c>
      <c r="J128" s="260"/>
      <c r="K128" s="260"/>
      <c r="L128" s="260"/>
      <c r="M128" s="260"/>
      <c r="N128" s="260"/>
    </row>
    <row r="129" spans="1:14" s="74" customFormat="1" ht="94.5" customHeight="1" x14ac:dyDescent="0.25">
      <c r="A129" s="42"/>
      <c r="B129" s="42"/>
      <c r="C129" s="42"/>
      <c r="D129" s="43"/>
      <c r="E129" s="41"/>
      <c r="F129" s="43" t="s">
        <v>257</v>
      </c>
      <c r="G129" s="260">
        <v>100</v>
      </c>
      <c r="H129" s="260">
        <v>100</v>
      </c>
      <c r="I129" s="260">
        <v>0</v>
      </c>
      <c r="J129" s="260"/>
      <c r="K129" s="260"/>
      <c r="L129" s="260"/>
      <c r="M129" s="260"/>
      <c r="N129" s="260"/>
    </row>
    <row r="130" spans="1:14" s="74" customFormat="1" ht="47.25" x14ac:dyDescent="0.25">
      <c r="A130" s="42"/>
      <c r="B130" s="42"/>
      <c r="C130" s="42"/>
      <c r="D130" s="43"/>
      <c r="E130" s="41"/>
      <c r="F130" s="43" t="s">
        <v>391</v>
      </c>
      <c r="G130" s="260">
        <v>300</v>
      </c>
      <c r="H130" s="260">
        <v>300</v>
      </c>
      <c r="I130" s="260">
        <v>300</v>
      </c>
      <c r="J130" s="260"/>
      <c r="K130" s="260"/>
      <c r="L130" s="260"/>
      <c r="M130" s="260"/>
      <c r="N130" s="260"/>
    </row>
    <row r="131" spans="1:14" s="74" customFormat="1" ht="31.5" x14ac:dyDescent="0.25">
      <c r="A131" s="42"/>
      <c r="B131" s="42"/>
      <c r="C131" s="42"/>
      <c r="D131" s="43"/>
      <c r="E131" s="41"/>
      <c r="F131" s="43" t="s">
        <v>441</v>
      </c>
      <c r="G131" s="260">
        <v>200</v>
      </c>
      <c r="H131" s="260">
        <v>100</v>
      </c>
      <c r="I131" s="260">
        <v>0</v>
      </c>
      <c r="J131" s="260"/>
      <c r="K131" s="260"/>
      <c r="L131" s="260"/>
      <c r="M131" s="260"/>
      <c r="N131" s="260"/>
    </row>
    <row r="132" spans="1:14" s="74" customFormat="1" ht="47.25" x14ac:dyDescent="0.25">
      <c r="A132" s="42"/>
      <c r="B132" s="42"/>
      <c r="C132" s="42"/>
      <c r="D132" s="43"/>
      <c r="E132" s="41"/>
      <c r="F132" s="43" t="s">
        <v>333</v>
      </c>
      <c r="G132" s="260">
        <v>5.3</v>
      </c>
      <c r="H132" s="260">
        <v>5.3</v>
      </c>
      <c r="I132" s="260">
        <v>5.3</v>
      </c>
      <c r="J132" s="260"/>
      <c r="K132" s="260"/>
      <c r="L132" s="260"/>
      <c r="M132" s="260"/>
      <c r="N132" s="260"/>
    </row>
    <row r="133" spans="1:14" s="74" customFormat="1" ht="41.25" customHeight="1" x14ac:dyDescent="0.25">
      <c r="A133" s="42">
        <v>4017420</v>
      </c>
      <c r="B133" s="42">
        <v>7420</v>
      </c>
      <c r="C133" s="42">
        <v>490</v>
      </c>
      <c r="D133" s="43" t="s">
        <v>194</v>
      </c>
      <c r="E133" s="41"/>
      <c r="F133" s="43"/>
      <c r="G133" s="283">
        <f>SUM(G134:G137)</f>
        <v>202.7</v>
      </c>
      <c r="H133" s="283">
        <f>SUM(H134:H137)</f>
        <v>202.7</v>
      </c>
      <c r="I133" s="283">
        <f>SUM(I134:I137)</f>
        <v>97.47</v>
      </c>
      <c r="J133" s="260">
        <f>I133/G133*100</f>
        <v>48.085841144548596</v>
      </c>
      <c r="K133" s="260">
        <f>150+42</f>
        <v>192</v>
      </c>
      <c r="L133" s="260">
        <f>150+42</f>
        <v>192</v>
      </c>
      <c r="M133" s="260">
        <f>42</f>
        <v>42</v>
      </c>
      <c r="N133" s="260">
        <f>M133/K133*100</f>
        <v>21.875</v>
      </c>
    </row>
    <row r="134" spans="1:14" s="74" customFormat="1" ht="102" customHeight="1" x14ac:dyDescent="0.25">
      <c r="A134" s="42"/>
      <c r="B134" s="42"/>
      <c r="C134" s="42"/>
      <c r="D134" s="80" t="s">
        <v>178</v>
      </c>
      <c r="E134" s="41"/>
      <c r="F134" s="43" t="s">
        <v>384</v>
      </c>
      <c r="G134" s="260">
        <v>104.6</v>
      </c>
      <c r="H134" s="260">
        <v>104.6</v>
      </c>
      <c r="I134" s="260">
        <v>0</v>
      </c>
      <c r="J134" s="260"/>
      <c r="K134" s="260"/>
      <c r="L134" s="260"/>
      <c r="M134" s="260"/>
      <c r="N134" s="260"/>
    </row>
    <row r="135" spans="1:14" s="74" customFormat="1" ht="62.25" customHeight="1" x14ac:dyDescent="0.25">
      <c r="A135" s="42"/>
      <c r="B135" s="42"/>
      <c r="C135" s="42"/>
      <c r="D135" s="80"/>
      <c r="E135" s="41"/>
      <c r="F135" s="43" t="s">
        <v>372</v>
      </c>
      <c r="G135" s="260">
        <v>34.6</v>
      </c>
      <c r="H135" s="260">
        <f>29.2+5.4</f>
        <v>34.6</v>
      </c>
      <c r="I135" s="260">
        <v>34.6</v>
      </c>
      <c r="J135" s="260"/>
      <c r="K135" s="260"/>
      <c r="L135" s="260"/>
      <c r="M135" s="260"/>
      <c r="N135" s="260"/>
    </row>
    <row r="136" spans="1:14" s="74" customFormat="1" ht="69.75" customHeight="1" x14ac:dyDescent="0.25">
      <c r="A136" s="42"/>
      <c r="B136" s="42"/>
      <c r="C136" s="42"/>
      <c r="D136" s="80"/>
      <c r="E136" s="41"/>
      <c r="F136" s="43" t="s">
        <v>461</v>
      </c>
      <c r="G136" s="260">
        <v>12.5</v>
      </c>
      <c r="H136" s="260">
        <v>12.5</v>
      </c>
      <c r="I136" s="260">
        <v>12.47</v>
      </c>
      <c r="J136" s="260"/>
      <c r="K136" s="260"/>
      <c r="L136" s="260"/>
      <c r="M136" s="260"/>
      <c r="N136" s="260"/>
    </row>
    <row r="137" spans="1:14" s="74" customFormat="1" ht="42" customHeight="1" x14ac:dyDescent="0.25">
      <c r="A137" s="42"/>
      <c r="B137" s="42"/>
      <c r="C137" s="42"/>
      <c r="D137" s="80"/>
      <c r="E137" s="41"/>
      <c r="F137" s="43" t="s">
        <v>401</v>
      </c>
      <c r="G137" s="260">
        <v>51</v>
      </c>
      <c r="H137" s="260">
        <v>51</v>
      </c>
      <c r="I137" s="260">
        <v>50.4</v>
      </c>
      <c r="J137" s="260"/>
      <c r="K137" s="260"/>
      <c r="L137" s="260"/>
      <c r="M137" s="260"/>
      <c r="N137" s="260"/>
    </row>
    <row r="138" spans="1:14" s="74" customFormat="1" ht="86.25" customHeight="1" x14ac:dyDescent="0.25">
      <c r="A138" s="42">
        <v>4019181</v>
      </c>
      <c r="B138" s="24" t="s">
        <v>313</v>
      </c>
      <c r="C138" s="24" t="s">
        <v>30</v>
      </c>
      <c r="D138" s="43" t="s">
        <v>314</v>
      </c>
      <c r="E138" s="41"/>
      <c r="F138" s="88" t="s">
        <v>315</v>
      </c>
      <c r="G138" s="260"/>
      <c r="H138" s="260"/>
      <c r="I138" s="260"/>
      <c r="J138" s="260"/>
      <c r="K138" s="260">
        <v>127.292</v>
      </c>
      <c r="L138" s="260">
        <v>127.292</v>
      </c>
      <c r="M138" s="260">
        <v>127.292</v>
      </c>
      <c r="N138" s="260"/>
    </row>
    <row r="139" spans="1:14" s="10" customFormat="1" ht="70.5" customHeight="1" x14ac:dyDescent="0.25">
      <c r="A139" s="24"/>
      <c r="B139" s="77"/>
      <c r="C139" s="77"/>
      <c r="D139" s="81"/>
      <c r="E139" s="44"/>
      <c r="F139" s="215" t="s">
        <v>195</v>
      </c>
      <c r="G139" s="270">
        <f>G141</f>
        <v>0</v>
      </c>
      <c r="H139" s="270"/>
      <c r="I139" s="270"/>
      <c r="J139" s="270"/>
      <c r="K139" s="270">
        <f>K140+K141+K143+K144+K147+K150+K146+K142</f>
        <v>25792.089999999997</v>
      </c>
      <c r="L139" s="270">
        <f>L140+L141+L143+L144+L147+L150+L146+L142</f>
        <v>20213.989999999998</v>
      </c>
      <c r="M139" s="270">
        <f>M140+M141+M143+M144+M147+M150+M146+M142</f>
        <v>6835.8626599999998</v>
      </c>
      <c r="N139" s="270" t="e">
        <f>N140+N141+N143+N144+N147+N150+N145+#REF!+#REF!</f>
        <v>#REF!</v>
      </c>
    </row>
    <row r="140" spans="1:14" s="71" customFormat="1" ht="84" customHeight="1" x14ac:dyDescent="0.25">
      <c r="A140" s="11" t="s">
        <v>316</v>
      </c>
      <c r="B140" s="11" t="s">
        <v>317</v>
      </c>
      <c r="C140" s="21" t="s">
        <v>190</v>
      </c>
      <c r="D140" s="156" t="s">
        <v>318</v>
      </c>
      <c r="E140" s="44"/>
      <c r="F140" s="43" t="s">
        <v>319</v>
      </c>
      <c r="G140" s="261"/>
      <c r="H140" s="261"/>
      <c r="I140" s="261"/>
      <c r="J140" s="261"/>
      <c r="K140" s="260">
        <v>100</v>
      </c>
      <c r="L140" s="260">
        <v>100</v>
      </c>
      <c r="M140" s="260">
        <v>0</v>
      </c>
      <c r="N140" s="261"/>
    </row>
    <row r="141" spans="1:14" s="71" customFormat="1" ht="39.75" customHeight="1" x14ac:dyDescent="0.25">
      <c r="A141" s="11" t="s">
        <v>196</v>
      </c>
      <c r="B141" s="11" t="s">
        <v>36</v>
      </c>
      <c r="C141" s="24" t="s">
        <v>37</v>
      </c>
      <c r="D141" s="67" t="s">
        <v>197</v>
      </c>
      <c r="E141" s="67" t="s">
        <v>197</v>
      </c>
      <c r="F141" s="67" t="s">
        <v>260</v>
      </c>
      <c r="G141" s="260"/>
      <c r="H141" s="260"/>
      <c r="I141" s="260"/>
      <c r="J141" s="260"/>
      <c r="K141" s="260">
        <f>2500+120+10+10+10+5500+79.793+50+100+1026.3+220.207+265.772+186.6+3324+850+130.9+700+200</f>
        <v>15283.572</v>
      </c>
      <c r="L141" s="260">
        <f>450+120+10+10+10+4800+79.793+50+100+576.3+220.207+265.772+186.6+3324+425+130.9+65</f>
        <v>10823.572</v>
      </c>
      <c r="M141" s="260">
        <f>12.261+35.885+9.88+10+9.235+3980.31469+14.883+264.8298+186.54051+975+77.88239+64.843</f>
        <v>5641.5543899999993</v>
      </c>
      <c r="N141" s="260"/>
    </row>
    <row r="142" spans="1:14" s="71" customFormat="1" ht="72.75" customHeight="1" x14ac:dyDescent="0.25">
      <c r="A142" s="11" t="s">
        <v>363</v>
      </c>
      <c r="B142" s="11" t="s">
        <v>364</v>
      </c>
      <c r="C142" s="24" t="s">
        <v>211</v>
      </c>
      <c r="D142" s="67" t="s">
        <v>362</v>
      </c>
      <c r="E142" s="67"/>
      <c r="F142" s="67" t="s">
        <v>445</v>
      </c>
      <c r="G142" s="260"/>
      <c r="H142" s="260"/>
      <c r="I142" s="260"/>
      <c r="J142" s="260"/>
      <c r="K142" s="260">
        <v>395</v>
      </c>
      <c r="L142" s="260">
        <v>395</v>
      </c>
      <c r="M142" s="260">
        <v>98.0364</v>
      </c>
      <c r="N142" s="260"/>
    </row>
    <row r="143" spans="1:14" s="10" customFormat="1" ht="51" customHeight="1" x14ac:dyDescent="0.25">
      <c r="A143" s="82" t="s">
        <v>198</v>
      </c>
      <c r="B143" s="82" t="s">
        <v>199</v>
      </c>
      <c r="C143" s="82" t="s">
        <v>190</v>
      </c>
      <c r="D143" s="67" t="s">
        <v>192</v>
      </c>
      <c r="E143" s="44"/>
      <c r="F143" s="45" t="s">
        <v>261</v>
      </c>
      <c r="G143" s="260">
        <v>0</v>
      </c>
      <c r="H143" s="260"/>
      <c r="I143" s="260"/>
      <c r="J143" s="260"/>
      <c r="K143" s="260">
        <v>37.9</v>
      </c>
      <c r="L143" s="260">
        <v>37.9</v>
      </c>
      <c r="M143" s="260">
        <v>25.1</v>
      </c>
      <c r="N143" s="260"/>
    </row>
    <row r="144" spans="1:14" s="10" customFormat="1" ht="36" customHeight="1" x14ac:dyDescent="0.25">
      <c r="A144" s="82" t="s">
        <v>181</v>
      </c>
      <c r="B144" s="82" t="s">
        <v>182</v>
      </c>
      <c r="C144" s="82" t="s">
        <v>200</v>
      </c>
      <c r="D144" s="67" t="s">
        <v>183</v>
      </c>
      <c r="E144" s="67" t="s">
        <v>183</v>
      </c>
      <c r="F144" s="45"/>
      <c r="G144" s="260">
        <f>G145</f>
        <v>0</v>
      </c>
      <c r="H144" s="260"/>
      <c r="I144" s="260"/>
      <c r="J144" s="260"/>
      <c r="K144" s="260">
        <f>K145</f>
        <v>20</v>
      </c>
      <c r="L144" s="260">
        <f>L145</f>
        <v>10</v>
      </c>
      <c r="M144" s="260">
        <f>M145</f>
        <v>6.7</v>
      </c>
      <c r="N144" s="260"/>
    </row>
    <row r="145" spans="1:14" s="71" customFormat="1" ht="37.5" customHeight="1" x14ac:dyDescent="0.25">
      <c r="A145" s="83" t="s">
        <v>201</v>
      </c>
      <c r="B145" s="83" t="s">
        <v>202</v>
      </c>
      <c r="C145" s="83" t="s">
        <v>203</v>
      </c>
      <c r="D145" s="84" t="s">
        <v>184</v>
      </c>
      <c r="E145" s="44"/>
      <c r="F145" s="45" t="s">
        <v>262</v>
      </c>
      <c r="G145" s="260"/>
      <c r="H145" s="260"/>
      <c r="I145" s="260"/>
      <c r="J145" s="260"/>
      <c r="K145" s="260">
        <v>20</v>
      </c>
      <c r="L145" s="260">
        <v>10</v>
      </c>
      <c r="M145" s="260">
        <v>6.7</v>
      </c>
      <c r="N145" s="260"/>
    </row>
    <row r="146" spans="1:14" s="232" customFormat="1" ht="66.75" customHeight="1" x14ac:dyDescent="0.25">
      <c r="A146" s="230" t="s">
        <v>216</v>
      </c>
      <c r="B146" s="230" t="s">
        <v>217</v>
      </c>
      <c r="C146" s="230" t="s">
        <v>37</v>
      </c>
      <c r="D146" s="211" t="s">
        <v>194</v>
      </c>
      <c r="E146" s="214"/>
      <c r="F146" s="215" t="s">
        <v>469</v>
      </c>
      <c r="G146" s="271"/>
      <c r="H146" s="271"/>
      <c r="I146" s="271"/>
      <c r="J146" s="271"/>
      <c r="K146" s="271">
        <f>293.1+500</f>
        <v>793.1</v>
      </c>
      <c r="L146" s="271">
        <f>293.1+500</f>
        <v>793.1</v>
      </c>
      <c r="M146" s="271">
        <f>288.12373+379.78419</f>
        <v>667.9079200000001</v>
      </c>
      <c r="N146" s="271"/>
    </row>
    <row r="147" spans="1:14" s="10" customFormat="1" ht="29.25" customHeight="1" x14ac:dyDescent="0.25">
      <c r="A147" s="82" t="s">
        <v>204</v>
      </c>
      <c r="B147" s="82" t="s">
        <v>128</v>
      </c>
      <c r="C147" s="82" t="s">
        <v>205</v>
      </c>
      <c r="D147" s="213" t="s">
        <v>206</v>
      </c>
      <c r="E147" s="214"/>
      <c r="F147" s="215"/>
      <c r="G147" s="271">
        <f>SUM(G148:G149)</f>
        <v>0</v>
      </c>
      <c r="H147" s="271"/>
      <c r="I147" s="271"/>
      <c r="J147" s="271"/>
      <c r="K147" s="271">
        <f>SUM(K148:K149)</f>
        <v>1936.3999999999999</v>
      </c>
      <c r="L147" s="271">
        <f>SUM(L148:L149)</f>
        <v>1028.3</v>
      </c>
      <c r="M147" s="271">
        <f>SUM(M148:M149)</f>
        <v>174.2</v>
      </c>
      <c r="N147" s="271"/>
    </row>
    <row r="148" spans="1:14" s="71" customFormat="1" ht="105.75" customHeight="1" x14ac:dyDescent="0.25">
      <c r="A148" s="83"/>
      <c r="B148" s="83"/>
      <c r="C148" s="83"/>
      <c r="D148" s="81" t="s">
        <v>178</v>
      </c>
      <c r="E148" s="67" t="s">
        <v>207</v>
      </c>
      <c r="F148" s="67" t="s">
        <v>440</v>
      </c>
      <c r="G148" s="260"/>
      <c r="H148" s="260"/>
      <c r="I148" s="260"/>
      <c r="J148" s="260"/>
      <c r="K148" s="273">
        <v>1908.1</v>
      </c>
      <c r="L148" s="273">
        <v>1000</v>
      </c>
      <c r="M148" s="273">
        <v>146.5</v>
      </c>
      <c r="N148" s="273"/>
    </row>
    <row r="149" spans="1:14" s="71" customFormat="1" ht="69" customHeight="1" x14ac:dyDescent="0.25">
      <c r="A149" s="83"/>
      <c r="B149" s="83"/>
      <c r="C149" s="83"/>
      <c r="D149" s="81"/>
      <c r="E149" s="67" t="s">
        <v>208</v>
      </c>
      <c r="F149" s="67" t="s">
        <v>439</v>
      </c>
      <c r="G149" s="260"/>
      <c r="H149" s="260"/>
      <c r="I149" s="260"/>
      <c r="J149" s="260"/>
      <c r="K149" s="273">
        <v>28.3</v>
      </c>
      <c r="L149" s="273">
        <v>28.3</v>
      </c>
      <c r="M149" s="273">
        <v>27.7</v>
      </c>
      <c r="N149" s="273"/>
    </row>
    <row r="150" spans="1:14" s="10" customFormat="1" ht="154.5" customHeight="1" x14ac:dyDescent="0.25">
      <c r="A150" s="82" t="s">
        <v>209</v>
      </c>
      <c r="B150" s="82" t="s">
        <v>210</v>
      </c>
      <c r="C150" s="82" t="s">
        <v>211</v>
      </c>
      <c r="D150" s="67" t="s">
        <v>212</v>
      </c>
      <c r="E150" s="67"/>
      <c r="F150" s="211" t="s">
        <v>470</v>
      </c>
      <c r="G150" s="271"/>
      <c r="H150" s="271"/>
      <c r="I150" s="271"/>
      <c r="J150" s="271"/>
      <c r="K150" s="271">
        <f>3230.2+3469.8+28.3+497.818</f>
        <v>7226.1180000000004</v>
      </c>
      <c r="L150" s="271">
        <f>3230.2+3457.8+28.3+309.818</f>
        <v>7026.1180000000004</v>
      </c>
      <c r="M150" s="271">
        <f>23.05789+26.85724+27.68855+144.76027</f>
        <v>222.36394999999999</v>
      </c>
      <c r="N150" s="271"/>
    </row>
    <row r="151" spans="1:14" s="65" customFormat="1" ht="65.25" customHeight="1" x14ac:dyDescent="0.25">
      <c r="A151" s="21"/>
      <c r="B151" s="42"/>
      <c r="C151" s="42"/>
      <c r="D151" s="43"/>
      <c r="E151" s="43"/>
      <c r="F151" s="215" t="s">
        <v>215</v>
      </c>
      <c r="G151" s="270">
        <f>G152</f>
        <v>5064.9279999999999</v>
      </c>
      <c r="H151" s="270">
        <f>H152</f>
        <v>3026.5</v>
      </c>
      <c r="I151" s="270">
        <f>I152</f>
        <v>2997.6</v>
      </c>
      <c r="J151" s="270">
        <f>I151/G151*100</f>
        <v>59.183467168733692</v>
      </c>
      <c r="K151" s="270"/>
      <c r="L151" s="270"/>
      <c r="M151" s="270"/>
      <c r="N151" s="270"/>
    </row>
    <row r="152" spans="1:14" s="10" customFormat="1" ht="34.5" customHeight="1" x14ac:dyDescent="0.25">
      <c r="A152" s="11" t="s">
        <v>216</v>
      </c>
      <c r="B152" s="11" t="s">
        <v>217</v>
      </c>
      <c r="C152" s="42">
        <v>490</v>
      </c>
      <c r="D152" s="43" t="s">
        <v>194</v>
      </c>
      <c r="E152" s="44"/>
      <c r="F152" s="63"/>
      <c r="G152" s="283">
        <f>SUM(G153:G158)</f>
        <v>5064.9279999999999</v>
      </c>
      <c r="H152" s="283">
        <f>SUM(H153:H158)</f>
        <v>3026.5</v>
      </c>
      <c r="I152" s="283">
        <f>SUM(I153:I158)</f>
        <v>2997.6</v>
      </c>
      <c r="J152" s="260"/>
      <c r="K152" s="260">
        <f>SUM(K153:K154)</f>
        <v>0</v>
      </c>
      <c r="L152" s="260"/>
      <c r="M152" s="260"/>
      <c r="N152" s="260"/>
    </row>
    <row r="153" spans="1:14" s="10" customFormat="1" ht="97.5" customHeight="1" x14ac:dyDescent="0.25">
      <c r="A153" s="11"/>
      <c r="B153" s="11"/>
      <c r="C153" s="42"/>
      <c r="D153" s="80" t="s">
        <v>178</v>
      </c>
      <c r="E153" s="44"/>
      <c r="F153" s="45" t="s">
        <v>366</v>
      </c>
      <c r="G153" s="260">
        <v>78.2</v>
      </c>
      <c r="H153" s="260">
        <v>39.799999999999997</v>
      </c>
      <c r="I153" s="260">
        <v>19.7</v>
      </c>
      <c r="J153" s="260"/>
      <c r="K153" s="260"/>
      <c r="L153" s="260"/>
      <c r="M153" s="260"/>
      <c r="N153" s="260"/>
    </row>
    <row r="154" spans="1:14" s="10" customFormat="1" ht="102" customHeight="1" x14ac:dyDescent="0.25">
      <c r="A154" s="11"/>
      <c r="B154" s="11"/>
      <c r="C154" s="42"/>
      <c r="D154" s="43"/>
      <c r="E154" s="44"/>
      <c r="F154" s="16" t="s">
        <v>276</v>
      </c>
      <c r="G154" s="260">
        <v>2420</v>
      </c>
      <c r="H154" s="260">
        <v>2420</v>
      </c>
      <c r="I154" s="260">
        <v>2420</v>
      </c>
      <c r="J154" s="260"/>
      <c r="K154" s="260"/>
      <c r="L154" s="260"/>
      <c r="M154" s="260"/>
      <c r="N154" s="260"/>
    </row>
    <row r="155" spans="1:14" s="10" customFormat="1" ht="108.75" customHeight="1" x14ac:dyDescent="0.25">
      <c r="A155" s="11"/>
      <c r="B155" s="11"/>
      <c r="C155" s="42"/>
      <c r="D155" s="43"/>
      <c r="E155" s="44"/>
      <c r="F155" s="16" t="s">
        <v>462</v>
      </c>
      <c r="G155" s="260">
        <f>251.2+1748.83</f>
        <v>2000.03</v>
      </c>
      <c r="H155" s="260">
        <v>0</v>
      </c>
      <c r="I155" s="260">
        <v>0</v>
      </c>
      <c r="J155" s="260"/>
      <c r="K155" s="260"/>
      <c r="L155" s="260"/>
      <c r="M155" s="260"/>
      <c r="N155" s="260"/>
    </row>
    <row r="156" spans="1:14" s="10" customFormat="1" ht="87" customHeight="1" x14ac:dyDescent="0.25">
      <c r="A156" s="11"/>
      <c r="B156" s="11"/>
      <c r="C156" s="42"/>
      <c r="D156" s="43"/>
      <c r="E156" s="44"/>
      <c r="F156" s="16" t="s">
        <v>386</v>
      </c>
      <c r="G156" s="260">
        <v>195</v>
      </c>
      <c r="H156" s="260">
        <v>195</v>
      </c>
      <c r="I156" s="260">
        <v>195</v>
      </c>
      <c r="J156" s="260"/>
      <c r="K156" s="260"/>
      <c r="L156" s="260"/>
      <c r="M156" s="260"/>
      <c r="N156" s="260"/>
    </row>
    <row r="157" spans="1:14" s="10" customFormat="1" ht="121.5" customHeight="1" x14ac:dyDescent="0.25">
      <c r="A157" s="11"/>
      <c r="B157" s="11"/>
      <c r="C157" s="42"/>
      <c r="D157" s="43"/>
      <c r="E157" s="44"/>
      <c r="F157" s="16" t="s">
        <v>343</v>
      </c>
      <c r="G157" s="260">
        <v>195</v>
      </c>
      <c r="H157" s="260">
        <v>195</v>
      </c>
      <c r="I157" s="260">
        <v>189.5</v>
      </c>
      <c r="J157" s="260"/>
      <c r="K157" s="260"/>
      <c r="L157" s="260"/>
      <c r="M157" s="260"/>
      <c r="N157" s="260"/>
    </row>
    <row r="158" spans="1:14" s="10" customFormat="1" ht="86.25" customHeight="1" x14ac:dyDescent="0.25">
      <c r="A158" s="11"/>
      <c r="B158" s="11"/>
      <c r="C158" s="42"/>
      <c r="D158" s="43"/>
      <c r="E158" s="44"/>
      <c r="F158" s="16" t="s">
        <v>419</v>
      </c>
      <c r="G158" s="260">
        <f>150+26.698</f>
        <v>176.69800000000001</v>
      </c>
      <c r="H158" s="260">
        <v>176.7</v>
      </c>
      <c r="I158" s="260">
        <v>173.4</v>
      </c>
      <c r="J158" s="260"/>
      <c r="K158" s="260"/>
      <c r="L158" s="260"/>
      <c r="M158" s="260"/>
      <c r="N158" s="260"/>
    </row>
    <row r="159" spans="1:14" s="242" customFormat="1" ht="55.5" customHeight="1" x14ac:dyDescent="0.25">
      <c r="A159" s="239"/>
      <c r="B159" s="240"/>
      <c r="C159" s="240"/>
      <c r="D159" s="211"/>
      <c r="E159" s="211"/>
      <c r="F159" s="210" t="s">
        <v>218</v>
      </c>
      <c r="G159" s="270">
        <f>G160+G161</f>
        <v>240</v>
      </c>
      <c r="H159" s="270">
        <f t="shared" ref="H159:I159" si="9">H160+H161</f>
        <v>240</v>
      </c>
      <c r="I159" s="270">
        <f t="shared" si="9"/>
        <v>227.5</v>
      </c>
      <c r="J159" s="270">
        <f>I159/G159*100</f>
        <v>94.791666666666657</v>
      </c>
      <c r="K159" s="270">
        <f>K160+K161</f>
        <v>435</v>
      </c>
      <c r="L159" s="270">
        <f>L160+L161</f>
        <v>435</v>
      </c>
      <c r="M159" s="270">
        <f>M160+M161</f>
        <v>0</v>
      </c>
      <c r="N159" s="270">
        <f>M159/K159*100</f>
        <v>0</v>
      </c>
    </row>
    <row r="160" spans="1:14" s="65" customFormat="1" ht="50.25" customHeight="1" x14ac:dyDescent="0.25">
      <c r="A160" s="11" t="s">
        <v>188</v>
      </c>
      <c r="B160" s="11" t="s">
        <v>189</v>
      </c>
      <c r="C160" s="11" t="s">
        <v>190</v>
      </c>
      <c r="D160" s="43" t="s">
        <v>191</v>
      </c>
      <c r="E160" s="67"/>
      <c r="F160" s="43" t="s">
        <v>320</v>
      </c>
      <c r="G160" s="261"/>
      <c r="H160" s="261"/>
      <c r="I160" s="261"/>
      <c r="J160" s="261"/>
      <c r="K160" s="260">
        <v>435</v>
      </c>
      <c r="L160" s="260">
        <v>435</v>
      </c>
      <c r="M160" s="260">
        <v>0</v>
      </c>
      <c r="N160" s="261"/>
    </row>
    <row r="161" spans="1:14" s="65" customFormat="1" ht="78" customHeight="1" x14ac:dyDescent="0.25">
      <c r="A161" s="42">
        <v>4016060</v>
      </c>
      <c r="B161" s="21" t="s">
        <v>199</v>
      </c>
      <c r="C161" s="21" t="s">
        <v>190</v>
      </c>
      <c r="D161" s="67" t="s">
        <v>192</v>
      </c>
      <c r="E161" s="43"/>
      <c r="F161" s="16" t="s">
        <v>219</v>
      </c>
      <c r="G161" s="281">
        <v>240</v>
      </c>
      <c r="H161" s="278">
        <f>211.7+28.3</f>
        <v>240</v>
      </c>
      <c r="I161" s="260">
        <f>211.6+15.9</f>
        <v>227.5</v>
      </c>
      <c r="J161" s="260"/>
      <c r="K161" s="260"/>
      <c r="L161" s="260"/>
      <c r="M161" s="260"/>
      <c r="N161" s="260"/>
    </row>
    <row r="162" spans="1:14" s="242" customFormat="1" ht="58.5" customHeight="1" x14ac:dyDescent="0.25">
      <c r="A162" s="243"/>
      <c r="B162" s="243"/>
      <c r="C162" s="243"/>
      <c r="D162" s="244"/>
      <c r="E162" s="210"/>
      <c r="F162" s="215" t="s">
        <v>277</v>
      </c>
      <c r="G162" s="270">
        <f>G163</f>
        <v>9</v>
      </c>
      <c r="H162" s="270">
        <f t="shared" ref="H162:I162" si="10">H163</f>
        <v>9</v>
      </c>
      <c r="I162" s="270">
        <f t="shared" si="10"/>
        <v>1.8149999999999999</v>
      </c>
      <c r="J162" s="270"/>
      <c r="K162" s="270"/>
      <c r="L162" s="270"/>
      <c r="M162" s="270"/>
      <c r="N162" s="270"/>
    </row>
    <row r="163" spans="1:14" s="65" customFormat="1" ht="42.75" customHeight="1" x14ac:dyDescent="0.25">
      <c r="A163" s="11" t="s">
        <v>216</v>
      </c>
      <c r="B163" s="11" t="s">
        <v>217</v>
      </c>
      <c r="C163" s="11" t="s">
        <v>37</v>
      </c>
      <c r="D163" s="85" t="s">
        <v>220</v>
      </c>
      <c r="E163" s="43"/>
      <c r="F163" s="43" t="s">
        <v>221</v>
      </c>
      <c r="G163" s="260">
        <v>9</v>
      </c>
      <c r="H163" s="260">
        <v>9</v>
      </c>
      <c r="I163" s="260">
        <v>1.8149999999999999</v>
      </c>
      <c r="J163" s="260"/>
      <c r="K163" s="260"/>
      <c r="L163" s="260"/>
      <c r="M163" s="260"/>
      <c r="N163" s="260"/>
    </row>
    <row r="164" spans="1:14" s="65" customFormat="1" ht="53.25" customHeight="1" x14ac:dyDescent="0.25">
      <c r="A164" s="42"/>
      <c r="B164" s="21"/>
      <c r="C164" s="21"/>
      <c r="D164" s="67"/>
      <c r="E164" s="43"/>
      <c r="F164" s="215" t="s">
        <v>222</v>
      </c>
      <c r="G164" s="270">
        <f>G165</f>
        <v>130</v>
      </c>
      <c r="H164" s="270">
        <f>H165</f>
        <v>130</v>
      </c>
      <c r="I164" s="270">
        <f>I165</f>
        <v>18.100000000000001</v>
      </c>
      <c r="J164" s="270">
        <f>I164/G164*100</f>
        <v>13.923076923076923</v>
      </c>
      <c r="K164" s="270">
        <f>K166</f>
        <v>70</v>
      </c>
      <c r="L164" s="270">
        <f>L166</f>
        <v>70</v>
      </c>
      <c r="M164" s="270">
        <f>M166</f>
        <v>54.686219999999999</v>
      </c>
      <c r="N164" s="270">
        <f>M164/K164*100</f>
        <v>78.123171428571425</v>
      </c>
    </row>
    <row r="165" spans="1:14" s="10" customFormat="1" ht="66.75" customHeight="1" x14ac:dyDescent="0.25">
      <c r="A165" s="42">
        <v>4016060</v>
      </c>
      <c r="B165" s="21" t="s">
        <v>199</v>
      </c>
      <c r="C165" s="21" t="s">
        <v>190</v>
      </c>
      <c r="D165" s="67" t="s">
        <v>192</v>
      </c>
      <c r="E165" s="44"/>
      <c r="F165" s="16" t="s">
        <v>267</v>
      </c>
      <c r="G165" s="283">
        <v>130</v>
      </c>
      <c r="H165" s="260">
        <f>30+30+30+40</f>
        <v>130</v>
      </c>
      <c r="I165" s="260">
        <f>18.1</f>
        <v>18.100000000000001</v>
      </c>
      <c r="J165" s="260"/>
      <c r="K165" s="260"/>
      <c r="L165" s="260"/>
      <c r="M165" s="260"/>
      <c r="N165" s="260"/>
    </row>
    <row r="166" spans="1:14" s="10" customFormat="1" ht="81.75" customHeight="1" x14ac:dyDescent="0.25">
      <c r="A166" s="42"/>
      <c r="B166" s="21"/>
      <c r="C166" s="21"/>
      <c r="D166" s="67"/>
      <c r="E166" s="44"/>
      <c r="F166" s="16" t="s">
        <v>223</v>
      </c>
      <c r="G166" s="260"/>
      <c r="H166" s="260"/>
      <c r="I166" s="260"/>
      <c r="J166" s="260"/>
      <c r="K166" s="260">
        <v>70</v>
      </c>
      <c r="L166" s="260">
        <v>70</v>
      </c>
      <c r="M166" s="260">
        <v>54.686219999999999</v>
      </c>
      <c r="N166" s="260"/>
    </row>
    <row r="167" spans="1:14" s="65" customFormat="1" ht="66.75" customHeight="1" x14ac:dyDescent="0.25">
      <c r="A167" s="42"/>
      <c r="B167" s="21"/>
      <c r="C167" s="21"/>
      <c r="D167" s="43"/>
      <c r="E167" s="43"/>
      <c r="F167" s="215" t="s">
        <v>278</v>
      </c>
      <c r="G167" s="270">
        <f>G168+G169+G171+G173+G170+G172</f>
        <v>610.29999999999995</v>
      </c>
      <c r="H167" s="270">
        <f>H168+H169+H171+H173+H170+H172</f>
        <v>479.49999999999994</v>
      </c>
      <c r="I167" s="270">
        <f>I168+I169+I171+I173+I170+I172</f>
        <v>286.39400000000001</v>
      </c>
      <c r="J167" s="270">
        <f>I167/G167*100</f>
        <v>46.926757332459452</v>
      </c>
      <c r="K167" s="270">
        <f>-K168+K169+K171+K172+K173</f>
        <v>53.87</v>
      </c>
      <c r="L167" s="270">
        <f>-L168+L169+L171+L172+L173</f>
        <v>53.87</v>
      </c>
      <c r="M167" s="270">
        <f>-M168+M169+M171+M172+M173</f>
        <v>51.87</v>
      </c>
      <c r="N167" s="270">
        <f>M167/K167*100</f>
        <v>96.28735845554111</v>
      </c>
    </row>
    <row r="168" spans="1:14" s="65" customFormat="1" ht="102.75" customHeight="1" x14ac:dyDescent="0.25">
      <c r="A168" s="42">
        <v>4016060</v>
      </c>
      <c r="B168" s="21" t="s">
        <v>199</v>
      </c>
      <c r="C168" s="21" t="s">
        <v>190</v>
      </c>
      <c r="D168" s="43" t="s">
        <v>224</v>
      </c>
      <c r="E168" s="43"/>
      <c r="F168" s="45" t="s">
        <v>402</v>
      </c>
      <c r="G168" s="281">
        <v>400</v>
      </c>
      <c r="H168" s="260">
        <f>232+32+32+30.2+14</f>
        <v>340.2</v>
      </c>
      <c r="I168" s="260">
        <f>190.6-0.7</f>
        <v>189.9</v>
      </c>
      <c r="J168" s="260"/>
      <c r="K168" s="260"/>
      <c r="L168" s="260"/>
      <c r="M168" s="260"/>
      <c r="N168" s="260"/>
    </row>
    <row r="169" spans="1:14" s="65" customFormat="1" ht="57" customHeight="1" x14ac:dyDescent="0.25">
      <c r="A169" s="42">
        <v>4017420</v>
      </c>
      <c r="B169" s="21" t="s">
        <v>217</v>
      </c>
      <c r="C169" s="21" t="s">
        <v>37</v>
      </c>
      <c r="D169" s="85" t="s">
        <v>194</v>
      </c>
      <c r="E169" s="43"/>
      <c r="F169" s="45" t="s">
        <v>226</v>
      </c>
      <c r="G169" s="278">
        <v>200</v>
      </c>
      <c r="H169" s="260">
        <f>78+17+17+17</f>
        <v>129</v>
      </c>
      <c r="I169" s="260">
        <v>86.6</v>
      </c>
      <c r="J169" s="260"/>
      <c r="K169" s="260"/>
      <c r="L169" s="260"/>
      <c r="M169" s="260"/>
      <c r="N169" s="260"/>
    </row>
    <row r="170" spans="1:14" s="65" customFormat="1" ht="39" customHeight="1" x14ac:dyDescent="0.25">
      <c r="A170" s="42"/>
      <c r="B170" s="21"/>
      <c r="C170" s="21"/>
      <c r="D170" s="85"/>
      <c r="E170" s="43"/>
      <c r="F170" s="45" t="s">
        <v>460</v>
      </c>
      <c r="G170" s="278">
        <v>6.4</v>
      </c>
      <c r="H170" s="260">
        <v>6.4</v>
      </c>
      <c r="I170" s="260">
        <v>5.9939999999999998</v>
      </c>
      <c r="J170" s="260"/>
      <c r="K170" s="260"/>
      <c r="L170" s="260"/>
      <c r="M170" s="260"/>
      <c r="N170" s="260"/>
    </row>
    <row r="171" spans="1:14" s="65" customFormat="1" ht="21" customHeight="1" x14ac:dyDescent="0.25">
      <c r="A171" s="42"/>
      <c r="B171" s="21"/>
      <c r="C171" s="21"/>
      <c r="D171" s="85"/>
      <c r="E171" s="43"/>
      <c r="F171" s="45" t="s">
        <v>367</v>
      </c>
      <c r="G171" s="278"/>
      <c r="H171" s="278"/>
      <c r="I171" s="278"/>
      <c r="J171" s="260"/>
      <c r="K171" s="283">
        <v>42.87</v>
      </c>
      <c r="L171" s="260">
        <v>42.87</v>
      </c>
      <c r="M171" s="260">
        <v>42.87</v>
      </c>
      <c r="N171" s="260"/>
    </row>
    <row r="172" spans="1:14" s="65" customFormat="1" ht="21.75" customHeight="1" x14ac:dyDescent="0.25">
      <c r="A172" s="42"/>
      <c r="B172" s="21"/>
      <c r="C172" s="21"/>
      <c r="D172" s="85"/>
      <c r="E172" s="43"/>
      <c r="F172" s="45" t="s">
        <v>444</v>
      </c>
      <c r="G172" s="278"/>
      <c r="H172" s="278"/>
      <c r="I172" s="278"/>
      <c r="J172" s="260"/>
      <c r="K172" s="283">
        <v>11</v>
      </c>
      <c r="L172" s="260">
        <v>11</v>
      </c>
      <c r="M172" s="260">
        <v>9</v>
      </c>
      <c r="N172" s="260"/>
    </row>
    <row r="173" spans="1:14" s="65" customFormat="1" ht="59.25" customHeight="1" x14ac:dyDescent="0.25">
      <c r="A173" s="42"/>
      <c r="B173" s="21"/>
      <c r="C173" s="21"/>
      <c r="D173" s="85"/>
      <c r="E173" s="43"/>
      <c r="F173" s="45" t="s">
        <v>368</v>
      </c>
      <c r="G173" s="260">
        <v>3.9</v>
      </c>
      <c r="H173" s="260">
        <v>3.9</v>
      </c>
      <c r="I173" s="260">
        <v>3.9</v>
      </c>
      <c r="J173" s="260"/>
      <c r="K173" s="260"/>
      <c r="L173" s="260"/>
      <c r="M173" s="260"/>
      <c r="N173" s="260"/>
    </row>
    <row r="174" spans="1:14" s="242" customFormat="1" ht="44.25" customHeight="1" x14ac:dyDescent="0.25">
      <c r="A174" s="239"/>
      <c r="B174" s="240" t="s">
        <v>422</v>
      </c>
      <c r="C174" s="240" t="s">
        <v>423</v>
      </c>
      <c r="D174" s="244" t="s">
        <v>424</v>
      </c>
      <c r="E174" s="210"/>
      <c r="F174" s="245" t="s">
        <v>345</v>
      </c>
      <c r="G174" s="271">
        <f>G176+G175</f>
        <v>300</v>
      </c>
      <c r="H174" s="271">
        <f>H176+H175</f>
        <v>300</v>
      </c>
      <c r="I174" s="271">
        <f t="shared" ref="I174" si="11">I176</f>
        <v>0</v>
      </c>
      <c r="J174" s="271">
        <f>I174/G174*100</f>
        <v>0</v>
      </c>
      <c r="K174" s="271">
        <f>K175+K176</f>
        <v>9.5</v>
      </c>
      <c r="L174" s="271">
        <f>L175+L176</f>
        <v>9.5</v>
      </c>
      <c r="M174" s="271">
        <f>M175+M176</f>
        <v>8</v>
      </c>
      <c r="N174" s="271">
        <f>M174/K174*100</f>
        <v>84.210526315789465</v>
      </c>
    </row>
    <row r="175" spans="1:14" s="65" customFormat="1" ht="37.5" customHeight="1" x14ac:dyDescent="0.25">
      <c r="A175" s="42"/>
      <c r="B175" s="21"/>
      <c r="C175" s="21"/>
      <c r="D175" s="85"/>
      <c r="E175" s="43"/>
      <c r="F175" s="45" t="s">
        <v>420</v>
      </c>
      <c r="G175" s="260"/>
      <c r="H175" s="260"/>
      <c r="I175" s="260"/>
      <c r="J175" s="260"/>
      <c r="K175" s="283">
        <v>9.5</v>
      </c>
      <c r="L175" s="260">
        <v>9.5</v>
      </c>
      <c r="M175" s="260">
        <v>8</v>
      </c>
      <c r="N175" s="260"/>
    </row>
    <row r="176" spans="1:14" s="65" customFormat="1" ht="32.25" customHeight="1" x14ac:dyDescent="0.25">
      <c r="A176" s="42"/>
      <c r="B176" s="21"/>
      <c r="C176" s="21"/>
      <c r="D176" s="85"/>
      <c r="E176" s="43"/>
      <c r="F176" s="45" t="s">
        <v>370</v>
      </c>
      <c r="G176" s="283">
        <v>300</v>
      </c>
      <c r="H176" s="260">
        <v>300</v>
      </c>
      <c r="I176" s="260">
        <v>0</v>
      </c>
      <c r="J176" s="260"/>
      <c r="K176" s="260"/>
      <c r="L176" s="260"/>
      <c r="M176" s="260"/>
      <c r="N176" s="260"/>
    </row>
    <row r="177" spans="1:14" s="249" customFormat="1" ht="56.25" customHeight="1" x14ac:dyDescent="0.25">
      <c r="A177" s="246"/>
      <c r="B177" s="247"/>
      <c r="C177" s="247"/>
      <c r="D177" s="210"/>
      <c r="E177" s="214"/>
      <c r="F177" s="248" t="s">
        <v>291</v>
      </c>
      <c r="G177" s="270">
        <f>G178+G179+G180+G181+G184</f>
        <v>1331.9</v>
      </c>
      <c r="H177" s="270">
        <f>H178+H179+H180+H181+H184</f>
        <v>1331.9</v>
      </c>
      <c r="I177" s="270">
        <f>I178+I179+I180+I181+I184</f>
        <v>1159</v>
      </c>
      <c r="J177" s="270">
        <f>I177/G177*100</f>
        <v>87.018544935805991</v>
      </c>
      <c r="K177" s="270">
        <f>K178+K181+K184</f>
        <v>4160</v>
      </c>
      <c r="L177" s="270">
        <f>L178+L181+L184</f>
        <v>2288</v>
      </c>
      <c r="M177" s="270">
        <f>M178+M181+M184</f>
        <v>571.24946999999997</v>
      </c>
      <c r="N177" s="270">
        <f>M177/K177*100</f>
        <v>13.731958413461538</v>
      </c>
    </row>
    <row r="178" spans="1:14" s="19" customFormat="1" ht="68.25" customHeight="1" x14ac:dyDescent="0.25">
      <c r="A178" s="42">
        <v>4016010</v>
      </c>
      <c r="B178" s="24" t="s">
        <v>227</v>
      </c>
      <c r="C178" s="24" t="s">
        <v>203</v>
      </c>
      <c r="D178" s="43" t="s">
        <v>228</v>
      </c>
      <c r="E178" s="44"/>
      <c r="F178" s="88" t="s">
        <v>229</v>
      </c>
      <c r="G178" s="260">
        <v>1181.9000000000001</v>
      </c>
      <c r="H178" s="260">
        <v>1181.9000000000001</v>
      </c>
      <c r="I178" s="260">
        <v>1059</v>
      </c>
      <c r="J178" s="260"/>
      <c r="K178" s="260"/>
      <c r="L178" s="260"/>
      <c r="M178" s="260"/>
      <c r="N178" s="260"/>
    </row>
    <row r="179" spans="1:14" s="19" customFormat="1" ht="79.5" customHeight="1" x14ac:dyDescent="0.25">
      <c r="A179" s="42"/>
      <c r="B179" s="24"/>
      <c r="C179" s="24"/>
      <c r="D179" s="43"/>
      <c r="E179" s="44"/>
      <c r="F179" s="88" t="s">
        <v>434</v>
      </c>
      <c r="G179" s="278">
        <v>50</v>
      </c>
      <c r="H179" s="278">
        <v>50</v>
      </c>
      <c r="I179" s="278">
        <v>0</v>
      </c>
      <c r="J179" s="260"/>
      <c r="K179" s="260"/>
      <c r="L179" s="260"/>
      <c r="M179" s="260"/>
      <c r="N179" s="260"/>
    </row>
    <row r="180" spans="1:14" s="19" customFormat="1" ht="79.5" customHeight="1" x14ac:dyDescent="0.25">
      <c r="A180" s="42"/>
      <c r="B180" s="24"/>
      <c r="C180" s="24"/>
      <c r="D180" s="43"/>
      <c r="E180" s="44"/>
      <c r="F180" s="88" t="s">
        <v>435</v>
      </c>
      <c r="G180" s="278">
        <v>100</v>
      </c>
      <c r="H180" s="278">
        <v>100</v>
      </c>
      <c r="I180" s="278">
        <v>100</v>
      </c>
      <c r="J180" s="260"/>
      <c r="K180" s="260"/>
      <c r="L180" s="260"/>
      <c r="M180" s="260"/>
      <c r="N180" s="260"/>
    </row>
    <row r="181" spans="1:14" s="19" customFormat="1" ht="39" customHeight="1" x14ac:dyDescent="0.25">
      <c r="A181" s="11" t="s">
        <v>181</v>
      </c>
      <c r="B181" s="11" t="s">
        <v>182</v>
      </c>
      <c r="C181" s="21" t="s">
        <v>203</v>
      </c>
      <c r="D181" s="67" t="s">
        <v>183</v>
      </c>
      <c r="E181" s="44"/>
      <c r="F181" s="86"/>
      <c r="G181" s="260">
        <f>G182</f>
        <v>0</v>
      </c>
      <c r="H181" s="260"/>
      <c r="I181" s="260"/>
      <c r="J181" s="260"/>
      <c r="K181" s="260">
        <f>SUM(K182:K183)</f>
        <v>2610</v>
      </c>
      <c r="L181" s="260">
        <f>SUM(L182:L183)</f>
        <v>1538</v>
      </c>
      <c r="M181" s="260">
        <f>SUM(M182:M183)</f>
        <v>362</v>
      </c>
      <c r="N181" s="260">
        <f>M181/K181*100</f>
        <v>13.869731800766283</v>
      </c>
    </row>
    <row r="182" spans="1:14" s="227" customFormat="1" ht="78" customHeight="1" x14ac:dyDescent="0.25">
      <c r="A182" s="154" t="s">
        <v>230</v>
      </c>
      <c r="B182" s="154" t="s">
        <v>279</v>
      </c>
      <c r="C182" s="24" t="s">
        <v>203</v>
      </c>
      <c r="D182" s="43" t="s">
        <v>231</v>
      </c>
      <c r="E182" s="43" t="s">
        <v>231</v>
      </c>
      <c r="F182" s="67" t="s">
        <v>268</v>
      </c>
      <c r="G182" s="260"/>
      <c r="H182" s="260"/>
      <c r="I182" s="260"/>
      <c r="J182" s="260"/>
      <c r="K182" s="273">
        <f>1710</f>
        <v>1710</v>
      </c>
      <c r="L182" s="273">
        <v>1013</v>
      </c>
      <c r="M182" s="273">
        <v>0</v>
      </c>
      <c r="N182" s="273"/>
    </row>
    <row r="183" spans="1:14" s="227" customFormat="1" ht="54" customHeight="1" x14ac:dyDescent="0.25">
      <c r="A183" s="154"/>
      <c r="B183" s="154"/>
      <c r="C183" s="24"/>
      <c r="D183" s="43"/>
      <c r="E183" s="43"/>
      <c r="F183" s="67" t="s">
        <v>269</v>
      </c>
      <c r="G183" s="260"/>
      <c r="H183" s="260"/>
      <c r="I183" s="260"/>
      <c r="J183" s="260"/>
      <c r="K183" s="273">
        <v>900</v>
      </c>
      <c r="L183" s="273">
        <v>525</v>
      </c>
      <c r="M183" s="273">
        <v>362</v>
      </c>
      <c r="N183" s="273"/>
    </row>
    <row r="184" spans="1:14" s="227" customFormat="1" ht="35.25" customHeight="1" x14ac:dyDescent="0.25">
      <c r="A184" s="89">
        <v>4016310</v>
      </c>
      <c r="B184" s="24" t="s">
        <v>36</v>
      </c>
      <c r="C184" s="24" t="s">
        <v>37</v>
      </c>
      <c r="D184" s="43" t="s">
        <v>232</v>
      </c>
      <c r="E184" s="44"/>
      <c r="F184" s="43"/>
      <c r="G184" s="260">
        <f>SUM(G185:G186)</f>
        <v>0</v>
      </c>
      <c r="H184" s="260"/>
      <c r="I184" s="260"/>
      <c r="J184" s="260"/>
      <c r="K184" s="260">
        <f>SUM(K185:K186)</f>
        <v>1550</v>
      </c>
      <c r="L184" s="260">
        <f>SUM(L185:L186)</f>
        <v>750</v>
      </c>
      <c r="M184" s="260">
        <f>SUM(M185:M186)</f>
        <v>209.24947</v>
      </c>
      <c r="N184" s="260">
        <f>M184/K184*100</f>
        <v>13.499965806451614</v>
      </c>
    </row>
    <row r="185" spans="1:14" s="19" customFormat="1" ht="37.5" customHeight="1" x14ac:dyDescent="0.25">
      <c r="A185" s="89"/>
      <c r="B185" s="24"/>
      <c r="C185" s="24"/>
      <c r="D185" s="80" t="s">
        <v>178</v>
      </c>
      <c r="E185" s="44"/>
      <c r="F185" s="43" t="s">
        <v>270</v>
      </c>
      <c r="G185" s="260"/>
      <c r="H185" s="260"/>
      <c r="I185" s="260"/>
      <c r="J185" s="260"/>
      <c r="K185" s="260">
        <v>750</v>
      </c>
      <c r="L185" s="260">
        <v>750</v>
      </c>
      <c r="M185" s="260">
        <v>209.24947</v>
      </c>
      <c r="N185" s="260"/>
    </row>
    <row r="186" spans="1:14" s="19" customFormat="1" ht="72" customHeight="1" x14ac:dyDescent="0.25">
      <c r="A186" s="89"/>
      <c r="B186" s="24"/>
      <c r="C186" s="24"/>
      <c r="D186" s="43"/>
      <c r="E186" s="44"/>
      <c r="F186" s="43" t="s">
        <v>271</v>
      </c>
      <c r="G186" s="260"/>
      <c r="H186" s="260"/>
      <c r="I186" s="260"/>
      <c r="J186" s="260"/>
      <c r="K186" s="260">
        <v>800</v>
      </c>
      <c r="L186" s="260">
        <v>0</v>
      </c>
      <c r="M186" s="260">
        <v>0</v>
      </c>
      <c r="N186" s="260"/>
    </row>
    <row r="187" spans="1:14" s="249" customFormat="1" ht="52.5" customHeight="1" x14ac:dyDescent="0.25">
      <c r="A187" s="250">
        <v>4016052</v>
      </c>
      <c r="B187" s="247" t="s">
        <v>189</v>
      </c>
      <c r="C187" s="247" t="s">
        <v>190</v>
      </c>
      <c r="D187" s="210" t="s">
        <v>191</v>
      </c>
      <c r="E187" s="214"/>
      <c r="F187" s="251" t="s">
        <v>322</v>
      </c>
      <c r="G187" s="270">
        <f>G188</f>
        <v>15</v>
      </c>
      <c r="H187" s="270">
        <f t="shared" ref="H187:I187" si="12">H188</f>
        <v>15</v>
      </c>
      <c r="I187" s="270">
        <f t="shared" si="12"/>
        <v>9.8000000000000007</v>
      </c>
      <c r="J187" s="271">
        <f>I187/G187*100</f>
        <v>65.333333333333343</v>
      </c>
      <c r="K187" s="271"/>
      <c r="L187" s="271"/>
      <c r="M187" s="271"/>
      <c r="N187" s="271"/>
    </row>
    <row r="188" spans="1:14" s="19" customFormat="1" ht="35.25" customHeight="1" x14ac:dyDescent="0.25">
      <c r="A188" s="89"/>
      <c r="B188" s="24"/>
      <c r="C188" s="24"/>
      <c r="D188" s="43"/>
      <c r="E188" s="44"/>
      <c r="F188" s="43" t="s">
        <v>321</v>
      </c>
      <c r="G188" s="260">
        <v>15</v>
      </c>
      <c r="H188" s="260">
        <v>15</v>
      </c>
      <c r="I188" s="260">
        <v>9.8000000000000007</v>
      </c>
      <c r="J188" s="260"/>
      <c r="K188" s="260"/>
      <c r="L188" s="260"/>
      <c r="M188" s="260"/>
      <c r="N188" s="260"/>
    </row>
    <row r="189" spans="1:14" s="249" customFormat="1" ht="66" customHeight="1" x14ac:dyDescent="0.25">
      <c r="A189" s="250">
        <v>4017810</v>
      </c>
      <c r="B189" s="247" t="s">
        <v>242</v>
      </c>
      <c r="C189" s="247" t="s">
        <v>243</v>
      </c>
      <c r="D189" s="210" t="s">
        <v>244</v>
      </c>
      <c r="E189" s="214"/>
      <c r="F189" s="288" t="s">
        <v>324</v>
      </c>
      <c r="G189" s="271">
        <f>G190</f>
        <v>150</v>
      </c>
      <c r="H189" s="271">
        <f>H190</f>
        <v>150</v>
      </c>
      <c r="I189" s="271">
        <f>I190</f>
        <v>0</v>
      </c>
      <c r="J189" s="271">
        <f>I189/G189*100</f>
        <v>0</v>
      </c>
      <c r="K189" s="271"/>
      <c r="L189" s="271"/>
      <c r="M189" s="271"/>
      <c r="N189" s="271"/>
    </row>
    <row r="190" spans="1:14" s="227" customFormat="1" ht="153.75" customHeight="1" x14ac:dyDescent="0.25">
      <c r="A190" s="89"/>
      <c r="B190" s="24"/>
      <c r="C190" s="24"/>
      <c r="D190" s="43"/>
      <c r="E190" s="44"/>
      <c r="F190" s="43" t="s">
        <v>323</v>
      </c>
      <c r="G190" s="260">
        <v>150</v>
      </c>
      <c r="H190" s="260">
        <v>150</v>
      </c>
      <c r="I190" s="260">
        <v>0</v>
      </c>
      <c r="J190" s="260">
        <f>I190/G190*100</f>
        <v>0</v>
      </c>
      <c r="K190" s="260"/>
      <c r="L190" s="260"/>
      <c r="M190" s="260"/>
      <c r="N190" s="260"/>
    </row>
    <row r="191" spans="1:14" s="19" customFormat="1" ht="36" customHeight="1" x14ac:dyDescent="0.25">
      <c r="A191" s="77"/>
      <c r="B191" s="24"/>
      <c r="C191" s="24"/>
      <c r="D191" s="198" t="s">
        <v>50</v>
      </c>
      <c r="E191" s="196"/>
      <c r="F191" s="204"/>
      <c r="G191" s="262">
        <f>G109+G139+G151+G159+G162+G164+G167+G177+G187+G189+G174</f>
        <v>29072.828000000001</v>
      </c>
      <c r="H191" s="262">
        <f>H109+H139+H151+H159+H162+H164+H167+H177+H187+H189+H174</f>
        <v>22311.733</v>
      </c>
      <c r="I191" s="262">
        <f>I109+I139+I151+I159+I162+I164+I167+I177+I187+I189+I174</f>
        <v>18574.858999999997</v>
      </c>
      <c r="J191" s="262">
        <f>I191/G191*100</f>
        <v>63.890788333353733</v>
      </c>
      <c r="K191" s="262">
        <f>K109+K139+K151+K159+K162+K164+K167+K177+K187+K189+K174</f>
        <v>39059.252</v>
      </c>
      <c r="L191" s="262">
        <f>L109+L139+L151+L159+L162+L164+L167+L177+L187+L189+L174</f>
        <v>30292.351999999995</v>
      </c>
      <c r="M191" s="262">
        <f>M109+M139+M151+M159+M162+M164+M167+M177+M187+M189+M174</f>
        <v>11783.24279</v>
      </c>
      <c r="N191" s="262">
        <f>M191/K191*100</f>
        <v>30.16760994296563</v>
      </c>
    </row>
    <row r="192" spans="1:14" s="19" customFormat="1" ht="109.5" customHeight="1" x14ac:dyDescent="0.25">
      <c r="A192" s="169">
        <v>6000000</v>
      </c>
      <c r="B192" s="177"/>
      <c r="C192" s="177"/>
      <c r="D192" s="186" t="s">
        <v>233</v>
      </c>
      <c r="E192" s="190"/>
      <c r="F192" s="191"/>
      <c r="G192" s="267"/>
      <c r="H192" s="267"/>
      <c r="I192" s="267"/>
      <c r="J192" s="267"/>
      <c r="K192" s="267"/>
      <c r="L192" s="267"/>
      <c r="M192" s="267"/>
      <c r="N192" s="267"/>
    </row>
    <row r="193" spans="1:14" s="19" customFormat="1" ht="81.75" customHeight="1" x14ac:dyDescent="0.25">
      <c r="A193" s="187">
        <v>6010000</v>
      </c>
      <c r="B193" s="177"/>
      <c r="C193" s="177"/>
      <c r="D193" s="188" t="s">
        <v>233</v>
      </c>
      <c r="E193" s="190"/>
      <c r="F193" s="191"/>
      <c r="G193" s="267"/>
      <c r="H193" s="267"/>
      <c r="I193" s="267"/>
      <c r="J193" s="267"/>
      <c r="K193" s="267"/>
      <c r="L193" s="267"/>
      <c r="M193" s="267"/>
      <c r="N193" s="267"/>
    </row>
    <row r="194" spans="1:14" s="19" customFormat="1" ht="44.25" customHeight="1" x14ac:dyDescent="0.25">
      <c r="A194" s="77"/>
      <c r="B194" s="24"/>
      <c r="C194" s="24"/>
      <c r="D194" s="44"/>
      <c r="E194" s="44"/>
      <c r="F194" s="216" t="s">
        <v>272</v>
      </c>
      <c r="G194" s="274">
        <f>G195+G196+G197+G198</f>
        <v>320</v>
      </c>
      <c r="H194" s="274">
        <f t="shared" ref="H194:I194" si="13">H195+H196+H197+H198</f>
        <v>290</v>
      </c>
      <c r="I194" s="274">
        <f t="shared" si="13"/>
        <v>4.0999999999999996</v>
      </c>
      <c r="J194" s="274">
        <f>I194/G194*100</f>
        <v>1.28125</v>
      </c>
      <c r="K194" s="274">
        <f>K195+K196+K198</f>
        <v>500</v>
      </c>
      <c r="L194" s="274">
        <f>L195+L196+L198</f>
        <v>0</v>
      </c>
      <c r="M194" s="274">
        <f>M195+M196+M198</f>
        <v>0</v>
      </c>
      <c r="N194" s="274">
        <f>M194/K194*100</f>
        <v>0</v>
      </c>
    </row>
    <row r="195" spans="1:14" s="19" customFormat="1" ht="63" customHeight="1" x14ac:dyDescent="0.25">
      <c r="A195" s="11" t="s">
        <v>234</v>
      </c>
      <c r="B195" s="11" t="s">
        <v>235</v>
      </c>
      <c r="C195" s="24" t="s">
        <v>236</v>
      </c>
      <c r="D195" s="43" t="s">
        <v>237</v>
      </c>
      <c r="E195" s="44"/>
      <c r="F195" s="88" t="s">
        <v>395</v>
      </c>
      <c r="G195" s="260">
        <v>31.5</v>
      </c>
      <c r="H195" s="260">
        <f>31.5</f>
        <v>31.5</v>
      </c>
      <c r="I195" s="260">
        <v>0</v>
      </c>
      <c r="J195" s="260"/>
      <c r="K195" s="260"/>
      <c r="L195" s="260"/>
      <c r="M195" s="260"/>
      <c r="N195" s="260"/>
    </row>
    <row r="196" spans="1:14" s="19" customFormat="1" ht="79.5" customHeight="1" x14ac:dyDescent="0.25">
      <c r="A196" s="11"/>
      <c r="B196" s="11"/>
      <c r="C196" s="24"/>
      <c r="D196" s="43"/>
      <c r="E196" s="44"/>
      <c r="F196" s="88" t="s">
        <v>307</v>
      </c>
      <c r="G196" s="260">
        <v>100</v>
      </c>
      <c r="H196" s="260">
        <f>30+40</f>
        <v>70</v>
      </c>
      <c r="I196" s="260">
        <f>4.1</f>
        <v>4.0999999999999996</v>
      </c>
      <c r="J196" s="260"/>
      <c r="K196" s="260"/>
      <c r="L196" s="260"/>
      <c r="M196" s="260"/>
      <c r="N196" s="260"/>
    </row>
    <row r="197" spans="1:14" s="19" customFormat="1" ht="142.5" customHeight="1" x14ac:dyDescent="0.25">
      <c r="A197" s="11"/>
      <c r="B197" s="11"/>
      <c r="C197" s="24"/>
      <c r="D197" s="43"/>
      <c r="E197" s="44"/>
      <c r="F197" s="88" t="s">
        <v>437</v>
      </c>
      <c r="G197" s="260">
        <v>188.5</v>
      </c>
      <c r="H197" s="260">
        <v>188.5</v>
      </c>
      <c r="I197" s="260">
        <v>0</v>
      </c>
      <c r="J197" s="260"/>
      <c r="K197" s="260"/>
      <c r="L197" s="260"/>
      <c r="M197" s="260"/>
      <c r="N197" s="260"/>
    </row>
    <row r="198" spans="1:14" s="51" customFormat="1" ht="82.5" customHeight="1" x14ac:dyDescent="0.25">
      <c r="A198" s="42">
        <v>6017420</v>
      </c>
      <c r="B198" s="21" t="s">
        <v>217</v>
      </c>
      <c r="C198" s="21" t="s">
        <v>37</v>
      </c>
      <c r="D198" s="43" t="s">
        <v>194</v>
      </c>
      <c r="E198" s="43"/>
      <c r="F198" s="88" t="s">
        <v>374</v>
      </c>
      <c r="G198" s="260"/>
      <c r="H198" s="260"/>
      <c r="I198" s="260"/>
      <c r="J198" s="260"/>
      <c r="K198" s="260">
        <v>500</v>
      </c>
      <c r="L198" s="260">
        <v>0</v>
      </c>
      <c r="M198" s="260">
        <v>0</v>
      </c>
      <c r="N198" s="260"/>
    </row>
    <row r="199" spans="1:14" s="51" customFormat="1" ht="49.5" customHeight="1" x14ac:dyDescent="0.25">
      <c r="A199" s="42"/>
      <c r="B199" s="21"/>
      <c r="C199" s="21"/>
      <c r="D199" s="43"/>
      <c r="E199" s="43"/>
      <c r="F199" s="253" t="s">
        <v>308</v>
      </c>
      <c r="G199" s="275">
        <f t="shared" ref="G199:N199" si="14">G200+G201+G202</f>
        <v>135.69999999999999</v>
      </c>
      <c r="H199" s="275">
        <f t="shared" si="14"/>
        <v>135.69999999999999</v>
      </c>
      <c r="I199" s="275">
        <f t="shared" si="14"/>
        <v>0</v>
      </c>
      <c r="J199" s="275">
        <f>I199/G199*100</f>
        <v>0</v>
      </c>
      <c r="K199" s="275">
        <f>K200+K201+K202</f>
        <v>180.17599999999999</v>
      </c>
      <c r="L199" s="275">
        <f>L200+L201+L202</f>
        <v>145.17599999999999</v>
      </c>
      <c r="M199" s="275">
        <f>M200+M201+M202</f>
        <v>109.5</v>
      </c>
      <c r="N199" s="275">
        <f t="shared" si="14"/>
        <v>149.55973715651135</v>
      </c>
    </row>
    <row r="200" spans="1:14" s="51" customFormat="1" ht="92.25" customHeight="1" x14ac:dyDescent="0.25">
      <c r="A200" s="42">
        <v>6019110</v>
      </c>
      <c r="B200" s="21" t="s">
        <v>239</v>
      </c>
      <c r="C200" s="21" t="s">
        <v>240</v>
      </c>
      <c r="D200" s="43" t="s">
        <v>274</v>
      </c>
      <c r="E200" s="12"/>
      <c r="F200" s="43" t="s">
        <v>389</v>
      </c>
      <c r="G200" s="260"/>
      <c r="H200" s="260"/>
      <c r="I200" s="260"/>
      <c r="J200" s="260"/>
      <c r="K200" s="260">
        <v>140</v>
      </c>
      <c r="L200" s="260">
        <v>105</v>
      </c>
      <c r="M200" s="260">
        <v>69.3</v>
      </c>
      <c r="N200" s="260">
        <f>M200/K200*100</f>
        <v>49.5</v>
      </c>
    </row>
    <row r="201" spans="1:14" s="51" customFormat="1" ht="68.25" customHeight="1" x14ac:dyDescent="0.25">
      <c r="A201" s="42">
        <v>6019110</v>
      </c>
      <c r="B201" s="21" t="s">
        <v>239</v>
      </c>
      <c r="C201" s="21" t="s">
        <v>240</v>
      </c>
      <c r="D201" s="43" t="s">
        <v>274</v>
      </c>
      <c r="E201" s="12"/>
      <c r="F201" s="43" t="s">
        <v>396</v>
      </c>
      <c r="G201" s="260"/>
      <c r="H201" s="260"/>
      <c r="I201" s="260"/>
      <c r="J201" s="260"/>
      <c r="K201" s="260">
        <v>40.176000000000002</v>
      </c>
      <c r="L201" s="260">
        <v>40.176000000000002</v>
      </c>
      <c r="M201" s="260">
        <v>40.200000000000003</v>
      </c>
      <c r="N201" s="260">
        <f>M201/K201*100</f>
        <v>100.05973715651135</v>
      </c>
    </row>
    <row r="202" spans="1:14" s="51" customFormat="1" ht="122.25" customHeight="1" x14ac:dyDescent="0.25">
      <c r="A202" s="42">
        <v>6016060</v>
      </c>
      <c r="B202" s="21" t="s">
        <v>199</v>
      </c>
      <c r="C202" s="21" t="s">
        <v>190</v>
      </c>
      <c r="D202" s="287" t="s">
        <v>306</v>
      </c>
      <c r="E202" s="12"/>
      <c r="F202" s="43" t="s">
        <v>390</v>
      </c>
      <c r="G202" s="260">
        <v>135.69999999999999</v>
      </c>
      <c r="H202" s="260">
        <v>135.69999999999999</v>
      </c>
      <c r="I202" s="260">
        <v>0</v>
      </c>
      <c r="J202" s="260">
        <f>I202/G202*100</f>
        <v>0</v>
      </c>
      <c r="K202" s="260"/>
      <c r="L202" s="260"/>
      <c r="M202" s="260"/>
      <c r="N202" s="260"/>
    </row>
    <row r="203" spans="1:14" s="32" customFormat="1" ht="27.75" customHeight="1" x14ac:dyDescent="0.25">
      <c r="A203" s="49"/>
      <c r="B203" s="49"/>
      <c r="C203" s="49"/>
      <c r="D203" s="198" t="s">
        <v>50</v>
      </c>
      <c r="E203" s="198"/>
      <c r="F203" s="198"/>
      <c r="G203" s="262">
        <f>G194+G199</f>
        <v>455.7</v>
      </c>
      <c r="H203" s="262">
        <f>H194+H199</f>
        <v>425.7</v>
      </c>
      <c r="I203" s="262">
        <f>I194+I199</f>
        <v>4.0999999999999996</v>
      </c>
      <c r="J203" s="262">
        <f>I203/G203*100</f>
        <v>0.89971472459951707</v>
      </c>
      <c r="K203" s="262">
        <f>K194+K199</f>
        <v>680.17599999999993</v>
      </c>
      <c r="L203" s="262">
        <f t="shared" ref="L203:N203" si="15">L194+L199</f>
        <v>145.17599999999999</v>
      </c>
      <c r="M203" s="262">
        <f t="shared" si="15"/>
        <v>109.5</v>
      </c>
      <c r="N203" s="262">
        <f t="shared" si="15"/>
        <v>149.55973715651135</v>
      </c>
    </row>
    <row r="204" spans="1:14" s="51" customFormat="1" ht="100.5" customHeight="1" x14ac:dyDescent="0.25">
      <c r="A204" s="169">
        <v>6700000</v>
      </c>
      <c r="B204" s="192"/>
      <c r="C204" s="192"/>
      <c r="D204" s="181" t="s">
        <v>241</v>
      </c>
      <c r="E204" s="184"/>
      <c r="F204" s="173"/>
      <c r="G204" s="265"/>
      <c r="H204" s="265"/>
      <c r="I204" s="265"/>
      <c r="J204" s="265"/>
      <c r="K204" s="265"/>
      <c r="L204" s="265"/>
      <c r="M204" s="265"/>
      <c r="N204" s="265"/>
    </row>
    <row r="205" spans="1:14" s="51" customFormat="1" ht="96" customHeight="1" x14ac:dyDescent="0.25">
      <c r="A205" s="187">
        <v>6710000</v>
      </c>
      <c r="B205" s="192"/>
      <c r="C205" s="192"/>
      <c r="D205" s="183" t="s">
        <v>241</v>
      </c>
      <c r="E205" s="184"/>
      <c r="F205" s="173"/>
      <c r="G205" s="265"/>
      <c r="H205" s="265"/>
      <c r="I205" s="265"/>
      <c r="J205" s="265"/>
      <c r="K205" s="265"/>
      <c r="L205" s="265"/>
      <c r="M205" s="265"/>
      <c r="N205" s="265"/>
    </row>
    <row r="206" spans="1:14" s="51" customFormat="1" ht="56.25" customHeight="1" x14ac:dyDescent="0.25">
      <c r="A206" s="91">
        <v>6717810</v>
      </c>
      <c r="B206" s="49" t="s">
        <v>242</v>
      </c>
      <c r="C206" s="49" t="s">
        <v>243</v>
      </c>
      <c r="D206" s="67" t="s">
        <v>244</v>
      </c>
      <c r="E206" s="47"/>
      <c r="F206" s="13" t="s">
        <v>381</v>
      </c>
      <c r="G206" s="261">
        <f>G207+G208</f>
        <v>213.89999999999998</v>
      </c>
      <c r="H206" s="261">
        <f>H207+H208</f>
        <v>207.6</v>
      </c>
      <c r="I206" s="261">
        <f>I207+I208</f>
        <v>204.136</v>
      </c>
      <c r="J206" s="261">
        <f>I206/G206*100</f>
        <v>95.435250116877057</v>
      </c>
      <c r="K206" s="261">
        <f>K207+K208</f>
        <v>94.4</v>
      </c>
      <c r="L206" s="261">
        <f>L207+L208</f>
        <v>94.4</v>
      </c>
      <c r="M206" s="261">
        <f>M207+M208</f>
        <v>94.4</v>
      </c>
      <c r="N206" s="261">
        <f>M206/K206*100</f>
        <v>100</v>
      </c>
    </row>
    <row r="207" spans="1:14" s="51" customFormat="1" ht="36" customHeight="1" x14ac:dyDescent="0.25">
      <c r="A207" s="91"/>
      <c r="B207" s="49"/>
      <c r="C207" s="49"/>
      <c r="D207" s="67"/>
      <c r="E207" s="47"/>
      <c r="F207" s="43" t="s">
        <v>382</v>
      </c>
      <c r="G207" s="260">
        <v>38.299999999999997</v>
      </c>
      <c r="H207" s="260">
        <v>32</v>
      </c>
      <c r="I207" s="260">
        <v>28.6</v>
      </c>
      <c r="J207" s="260">
        <f>I207/G207*100</f>
        <v>74.673629242819857</v>
      </c>
      <c r="K207" s="260">
        <v>0</v>
      </c>
      <c r="L207" s="260">
        <v>0</v>
      </c>
      <c r="M207" s="260">
        <v>0</v>
      </c>
      <c r="N207" s="260"/>
    </row>
    <row r="208" spans="1:14" s="51" customFormat="1" ht="54.75" customHeight="1" x14ac:dyDescent="0.25">
      <c r="A208" s="91"/>
      <c r="B208" s="49"/>
      <c r="C208" s="49"/>
      <c r="D208" s="67"/>
      <c r="E208" s="47"/>
      <c r="F208" s="43" t="s">
        <v>383</v>
      </c>
      <c r="G208" s="260">
        <v>175.6</v>
      </c>
      <c r="H208" s="260">
        <v>175.6</v>
      </c>
      <c r="I208" s="260">
        <v>175.536</v>
      </c>
      <c r="J208" s="260">
        <f>I208/G208*100</f>
        <v>99.96355353075171</v>
      </c>
      <c r="K208" s="260">
        <v>94.4</v>
      </c>
      <c r="L208" s="260">
        <v>94.4</v>
      </c>
      <c r="M208" s="260">
        <v>94.4</v>
      </c>
      <c r="N208" s="260"/>
    </row>
    <row r="209" spans="1:14" s="51" customFormat="1" ht="69" customHeight="1" x14ac:dyDescent="0.25">
      <c r="A209" s="91"/>
      <c r="B209" s="49"/>
      <c r="C209" s="49"/>
      <c r="D209" s="67"/>
      <c r="E209" s="47"/>
      <c r="F209" s="13" t="s">
        <v>350</v>
      </c>
      <c r="G209" s="261">
        <f>G210+G212+G211</f>
        <v>60</v>
      </c>
      <c r="H209" s="261">
        <f>H210+H212+H211</f>
        <v>30</v>
      </c>
      <c r="I209" s="261">
        <f>I210+I212+I211</f>
        <v>20.8</v>
      </c>
      <c r="J209" s="261">
        <f t="shared" ref="J209:N209" si="16">J210+J212</f>
        <v>0</v>
      </c>
      <c r="K209" s="261">
        <f>K210+K212</f>
        <v>203.6</v>
      </c>
      <c r="L209" s="261">
        <f>L210+L212</f>
        <v>203.6</v>
      </c>
      <c r="M209" s="261">
        <f>M210+M212</f>
        <v>42.807600000000001</v>
      </c>
      <c r="N209" s="261">
        <f t="shared" si="16"/>
        <v>0</v>
      </c>
    </row>
    <row r="210" spans="1:14" s="51" customFormat="1" ht="49.5" customHeight="1" x14ac:dyDescent="0.3">
      <c r="A210" s="159" t="s">
        <v>351</v>
      </c>
      <c r="B210" s="159" t="s">
        <v>352</v>
      </c>
      <c r="C210" s="159" t="s">
        <v>353</v>
      </c>
      <c r="D210" s="236" t="s">
        <v>354</v>
      </c>
      <c r="E210" s="236"/>
      <c r="F210" s="236" t="s">
        <v>355</v>
      </c>
      <c r="G210" s="261">
        <v>59.2</v>
      </c>
      <c r="H210" s="261">
        <v>29.2</v>
      </c>
      <c r="I210" s="261">
        <v>20</v>
      </c>
      <c r="J210" s="261"/>
      <c r="K210" s="261"/>
      <c r="L210" s="261"/>
      <c r="M210" s="261"/>
      <c r="N210" s="261"/>
    </row>
    <row r="211" spans="1:14" s="51" customFormat="1" ht="49.5" customHeight="1" x14ac:dyDescent="0.3">
      <c r="A211" s="159" t="s">
        <v>351</v>
      </c>
      <c r="B211" s="159" t="s">
        <v>352</v>
      </c>
      <c r="C211" s="159" t="s">
        <v>353</v>
      </c>
      <c r="D211" s="236" t="s">
        <v>354</v>
      </c>
      <c r="E211" s="236"/>
      <c r="F211" s="236" t="s">
        <v>458</v>
      </c>
      <c r="G211" s="261">
        <v>0.8</v>
      </c>
      <c r="H211" s="261">
        <v>0.8</v>
      </c>
      <c r="I211" s="261">
        <v>0.8</v>
      </c>
      <c r="J211" s="261"/>
      <c r="K211" s="261"/>
      <c r="L211" s="261"/>
      <c r="M211" s="261"/>
      <c r="N211" s="261"/>
    </row>
    <row r="212" spans="1:14" s="51" customFormat="1" ht="60.75" customHeight="1" x14ac:dyDescent="0.3">
      <c r="A212" s="159" t="s">
        <v>356</v>
      </c>
      <c r="B212" s="159" t="s">
        <v>29</v>
      </c>
      <c r="C212" s="159" t="s">
        <v>30</v>
      </c>
      <c r="D212" s="237" t="s">
        <v>27</v>
      </c>
      <c r="E212" s="236"/>
      <c r="F212" s="236" t="s">
        <v>357</v>
      </c>
      <c r="G212" s="261"/>
      <c r="H212" s="261"/>
      <c r="I212" s="261"/>
      <c r="J212" s="261"/>
      <c r="K212" s="261">
        <v>203.6</v>
      </c>
      <c r="L212" s="261">
        <v>203.6</v>
      </c>
      <c r="M212" s="261">
        <v>42.807600000000001</v>
      </c>
      <c r="N212" s="261">
        <v>0</v>
      </c>
    </row>
    <row r="213" spans="1:14" s="19" customFormat="1" ht="36" customHeight="1" x14ac:dyDescent="0.25">
      <c r="A213" s="48"/>
      <c r="B213" s="78"/>
      <c r="C213" s="78"/>
      <c r="D213" s="198" t="s">
        <v>50</v>
      </c>
      <c r="E213" s="205"/>
      <c r="F213" s="198"/>
      <c r="G213" s="262">
        <f>G206+G209</f>
        <v>273.89999999999998</v>
      </c>
      <c r="H213" s="262">
        <f>H206+H209</f>
        <v>237.6</v>
      </c>
      <c r="I213" s="262">
        <f>I206+I209</f>
        <v>224.93600000000001</v>
      </c>
      <c r="J213" s="262">
        <f t="shared" ref="J213:N213" si="17">J206+J209</f>
        <v>95.435250116877057</v>
      </c>
      <c r="K213" s="262">
        <f>K206+K209</f>
        <v>298</v>
      </c>
      <c r="L213" s="262">
        <f t="shared" si="17"/>
        <v>298</v>
      </c>
      <c r="M213" s="262">
        <f t="shared" si="17"/>
        <v>137.20760000000001</v>
      </c>
      <c r="N213" s="262">
        <f t="shared" si="17"/>
        <v>100</v>
      </c>
    </row>
    <row r="214" spans="1:14" s="51" customFormat="1" ht="43.5" hidden="1" customHeight="1" x14ac:dyDescent="0.25">
      <c r="A214" s="169">
        <v>7500000</v>
      </c>
      <c r="B214" s="176"/>
      <c r="C214" s="176"/>
      <c r="D214" s="181" t="s">
        <v>246</v>
      </c>
      <c r="E214" s="184"/>
      <c r="F214" s="173"/>
      <c r="G214" s="265"/>
      <c r="H214" s="265"/>
      <c r="I214" s="265"/>
      <c r="J214" s="265"/>
      <c r="K214" s="265"/>
      <c r="L214" s="265"/>
      <c r="M214" s="265"/>
      <c r="N214" s="265"/>
    </row>
    <row r="215" spans="1:14" s="51" customFormat="1" ht="45.75" hidden="1" customHeight="1" x14ac:dyDescent="0.25">
      <c r="A215" s="187">
        <v>7510000</v>
      </c>
      <c r="B215" s="176"/>
      <c r="C215" s="176"/>
      <c r="D215" s="183" t="s">
        <v>246</v>
      </c>
      <c r="E215" s="184"/>
      <c r="F215" s="173"/>
      <c r="G215" s="265"/>
      <c r="H215" s="265"/>
      <c r="I215" s="265"/>
      <c r="J215" s="265"/>
      <c r="K215" s="265"/>
      <c r="L215" s="265"/>
      <c r="M215" s="265"/>
      <c r="N215" s="265"/>
    </row>
    <row r="216" spans="1:14" s="51" customFormat="1" ht="21.75" customHeight="1" x14ac:dyDescent="0.25">
      <c r="A216" s="49" t="s">
        <v>247</v>
      </c>
      <c r="B216" s="49" t="s">
        <v>26</v>
      </c>
      <c r="C216" s="49" t="s">
        <v>30</v>
      </c>
      <c r="D216" s="28" t="s">
        <v>27</v>
      </c>
      <c r="E216" s="47"/>
      <c r="F216" s="13"/>
      <c r="G216" s="261">
        <f>G217</f>
        <v>1178.9749999999999</v>
      </c>
      <c r="H216" s="261">
        <f>H217</f>
        <v>1020</v>
      </c>
      <c r="I216" s="261">
        <f>I217</f>
        <v>0</v>
      </c>
      <c r="J216" s="261">
        <f>I216/G216*100</f>
        <v>0</v>
      </c>
      <c r="K216" s="261">
        <f>K217</f>
        <v>0</v>
      </c>
      <c r="L216" s="261"/>
      <c r="M216" s="261"/>
      <c r="N216" s="261"/>
    </row>
    <row r="217" spans="1:14" s="51" customFormat="1" ht="74.25" customHeight="1" x14ac:dyDescent="0.25">
      <c r="A217" s="42">
        <v>7518601</v>
      </c>
      <c r="B217" s="21" t="s">
        <v>29</v>
      </c>
      <c r="C217" s="21" t="s">
        <v>30</v>
      </c>
      <c r="D217" s="28" t="s">
        <v>27</v>
      </c>
      <c r="E217" s="28"/>
      <c r="F217" s="20" t="s">
        <v>273</v>
      </c>
      <c r="G217" s="260">
        <v>1178.9749999999999</v>
      </c>
      <c r="H217" s="260">
        <v>1020</v>
      </c>
      <c r="I217" s="260">
        <v>0</v>
      </c>
      <c r="J217" s="260">
        <f>I217/G217*100</f>
        <v>0</v>
      </c>
      <c r="K217" s="260"/>
      <c r="L217" s="260"/>
      <c r="M217" s="260"/>
      <c r="N217" s="260"/>
    </row>
    <row r="218" spans="1:14" s="19" customFormat="1" ht="27.75" customHeight="1" x14ac:dyDescent="0.25">
      <c r="A218" s="49"/>
      <c r="B218" s="49"/>
      <c r="C218" s="49"/>
      <c r="D218" s="219" t="s">
        <v>50</v>
      </c>
      <c r="E218" s="219"/>
      <c r="F218" s="219"/>
      <c r="G218" s="259">
        <f>G216</f>
        <v>1178.9749999999999</v>
      </c>
      <c r="H218" s="259">
        <f>H216</f>
        <v>1020</v>
      </c>
      <c r="I218" s="259">
        <f>I216</f>
        <v>0</v>
      </c>
      <c r="J218" s="259">
        <f>I218/G218*100</f>
        <v>0</v>
      </c>
      <c r="K218" s="259">
        <f>K216</f>
        <v>0</v>
      </c>
      <c r="L218" s="259">
        <f>L216</f>
        <v>0</v>
      </c>
      <c r="M218" s="259">
        <f>M216</f>
        <v>0</v>
      </c>
      <c r="N218" s="259"/>
    </row>
    <row r="219" spans="1:14" s="51" customFormat="1" ht="21.6" customHeight="1" x14ac:dyDescent="0.25">
      <c r="A219" s="92"/>
      <c r="B219" s="93"/>
      <c r="C219" s="93"/>
      <c r="D219" s="217" t="s">
        <v>248</v>
      </c>
      <c r="E219" s="217"/>
      <c r="F219" s="218"/>
      <c r="G219" s="276">
        <f>G23+G39+G81+G86+G106+G191+G203+G213+G218+G26</f>
        <v>39580.027999999998</v>
      </c>
      <c r="H219" s="276">
        <f>H23+H39+H81+H86+H106+H191+H203+H213+H218+H26</f>
        <v>29831.733</v>
      </c>
      <c r="I219" s="276">
        <f>I23+I39+I81+I86+I106+I191+I203+I213+I218+I26</f>
        <v>23324.944229999997</v>
      </c>
      <c r="J219" s="276">
        <f>I219/G219*100</f>
        <v>58.931095829442057</v>
      </c>
      <c r="K219" s="276">
        <f>K23+K39+K81+K86+K106+K191+K203+K213+K218+K26</f>
        <v>41065.027999999998</v>
      </c>
      <c r="L219" s="276">
        <f>L23+L39+L81+L86+L106+L191+L203+L213+L218+L26</f>
        <v>31193.127999999993</v>
      </c>
      <c r="M219" s="276">
        <f>M23+M39+M81+M86+M106+M191+M203+M213+M218+M26</f>
        <v>12349.71919</v>
      </c>
      <c r="N219" s="276">
        <f>M219/K219*100</f>
        <v>30.073568170950722</v>
      </c>
    </row>
  </sheetData>
  <mergeCells count="9">
    <mergeCell ref="B6:N6"/>
    <mergeCell ref="B1:N1"/>
    <mergeCell ref="A4:A5"/>
    <mergeCell ref="B4:B5"/>
    <mergeCell ref="C4:C5"/>
    <mergeCell ref="D4:E5"/>
    <mergeCell ref="F4:F5"/>
    <mergeCell ref="G4:I4"/>
    <mergeCell ref="K4:N4"/>
  </mergeCells>
  <hyperlinks>
    <hyperlink ref="F20" r:id="rId1" display="http://akts.yu.mk.ua/showdoc/4829/"/>
  </hyperlinks>
  <pageMargins left="0.70866141732283472" right="0.70866141732283472" top="0.74803149606299213" bottom="0.74803149606299213" header="0.31496062992125984" footer="0.31496062992125984"/>
  <pageSetup paperSize="9" scale="48" fitToHeight="14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topLeftCell="A222" zoomScale="75" zoomScaleNormal="68" zoomScaleSheetLayoutView="75" workbookViewId="0">
      <selection activeCell="F8" sqref="F8:I8"/>
    </sheetView>
  </sheetViews>
  <sheetFormatPr defaultColWidth="8.7109375" defaultRowHeight="12.75" x14ac:dyDescent="0.2"/>
  <cols>
    <col min="1" max="1" width="11.7109375" style="357" customWidth="1"/>
    <col min="2" max="2" width="10.42578125" style="411" customWidth="1"/>
    <col min="3" max="3" width="8.42578125" style="411" customWidth="1"/>
    <col min="4" max="4" width="36" style="357" customWidth="1"/>
    <col min="5" max="5" width="58.7109375" style="319" customWidth="1"/>
    <col min="6" max="6" width="16.28515625" style="357" customWidth="1"/>
    <col min="7" max="7" width="14.85546875" style="357" customWidth="1"/>
    <col min="8" max="8" width="15" style="357" customWidth="1"/>
    <col min="9" max="9" width="10.7109375" style="357" customWidth="1"/>
    <col min="10" max="10" width="15" style="357" customWidth="1"/>
    <col min="11" max="11" width="14.28515625" style="357" customWidth="1"/>
    <col min="12" max="12" width="14.7109375" style="357" customWidth="1"/>
    <col min="13" max="13" width="10.85546875" style="357" customWidth="1"/>
    <col min="14" max="191" width="8.7109375" style="1"/>
    <col min="192" max="192" width="13" style="1" customWidth="1"/>
    <col min="193" max="193" width="12.140625" style="1" customWidth="1"/>
    <col min="194" max="194" width="11.28515625" style="1" customWidth="1"/>
    <col min="195" max="195" width="37.140625" style="1" customWidth="1"/>
    <col min="196" max="196" width="0" style="1" hidden="1" customWidth="1"/>
    <col min="197" max="197" width="58.7109375" style="1" customWidth="1"/>
    <col min="198" max="200" width="16.7109375" style="1" customWidth="1"/>
    <col min="201" max="201" width="53.28515625" style="1" customWidth="1"/>
    <col min="202" max="202" width="15.42578125" style="1" customWidth="1"/>
    <col min="203" max="447" width="8.7109375" style="1"/>
    <col min="448" max="448" width="13" style="1" customWidth="1"/>
    <col min="449" max="449" width="12.140625" style="1" customWidth="1"/>
    <col min="450" max="450" width="11.28515625" style="1" customWidth="1"/>
    <col min="451" max="451" width="37.140625" style="1" customWidth="1"/>
    <col min="452" max="452" width="0" style="1" hidden="1" customWidth="1"/>
    <col min="453" max="453" width="58.7109375" style="1" customWidth="1"/>
    <col min="454" max="456" width="16.7109375" style="1" customWidth="1"/>
    <col min="457" max="457" width="53.28515625" style="1" customWidth="1"/>
    <col min="458" max="458" width="15.42578125" style="1" customWidth="1"/>
    <col min="459" max="16384" width="8.7109375" style="1"/>
  </cols>
  <sheetData>
    <row r="1" spans="1:13" ht="20.25" x14ac:dyDescent="0.3">
      <c r="J1" s="495" t="s">
        <v>495</v>
      </c>
    </row>
    <row r="2" spans="1:13" ht="20.25" x14ac:dyDescent="0.3">
      <c r="J2" s="495" t="s">
        <v>540</v>
      </c>
    </row>
    <row r="3" spans="1:13" ht="20.25" x14ac:dyDescent="0.3">
      <c r="J3" s="495" t="s">
        <v>541</v>
      </c>
    </row>
    <row r="4" spans="1:13" ht="18.75" x14ac:dyDescent="0.3">
      <c r="J4" s="149"/>
    </row>
    <row r="5" spans="1:13" s="4" customFormat="1" ht="23.25" x14ac:dyDescent="0.3">
      <c r="A5" s="150"/>
      <c r="B5" s="487" t="s">
        <v>496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</row>
    <row r="6" spans="1:13" s="4" customFormat="1" ht="21" customHeight="1" x14ac:dyDescent="0.3">
      <c r="A6" s="150"/>
      <c r="B6" s="358"/>
      <c r="C6" s="358"/>
      <c r="D6" s="358"/>
      <c r="E6" s="320"/>
      <c r="F6" s="358"/>
      <c r="G6" s="358"/>
      <c r="H6" s="358"/>
      <c r="I6" s="358"/>
      <c r="J6" s="358"/>
      <c r="K6" s="358"/>
      <c r="L6" s="358"/>
      <c r="M6" s="358"/>
    </row>
    <row r="7" spans="1:13" ht="23.25" hidden="1" customHeight="1" x14ac:dyDescent="0.3">
      <c r="L7" s="149" t="s">
        <v>0</v>
      </c>
    </row>
    <row r="8" spans="1:13" s="222" customFormat="1" ht="45" customHeight="1" x14ac:dyDescent="0.25">
      <c r="A8" s="488" t="s">
        <v>1</v>
      </c>
      <c r="B8" s="489" t="s">
        <v>2</v>
      </c>
      <c r="C8" s="489" t="s">
        <v>3</v>
      </c>
      <c r="D8" s="483" t="s">
        <v>4</v>
      </c>
      <c r="E8" s="490" t="s">
        <v>283</v>
      </c>
      <c r="F8" s="492" t="s">
        <v>5</v>
      </c>
      <c r="G8" s="493"/>
      <c r="H8" s="493"/>
      <c r="I8" s="494"/>
      <c r="J8" s="491" t="s">
        <v>6</v>
      </c>
      <c r="K8" s="491"/>
      <c r="L8" s="491"/>
      <c r="M8" s="491"/>
    </row>
    <row r="9" spans="1:13" s="222" customFormat="1" ht="84" customHeight="1" x14ac:dyDescent="0.25">
      <c r="A9" s="488"/>
      <c r="B9" s="489"/>
      <c r="C9" s="489"/>
      <c r="D9" s="483"/>
      <c r="E9" s="490"/>
      <c r="F9" s="359" t="s">
        <v>284</v>
      </c>
      <c r="G9" s="359" t="s">
        <v>285</v>
      </c>
      <c r="H9" s="359" t="s">
        <v>472</v>
      </c>
      <c r="I9" s="359" t="s">
        <v>286</v>
      </c>
      <c r="J9" s="359" t="s">
        <v>284</v>
      </c>
      <c r="K9" s="359" t="s">
        <v>285</v>
      </c>
      <c r="L9" s="359" t="s">
        <v>472</v>
      </c>
      <c r="M9" s="359" t="s">
        <v>286</v>
      </c>
    </row>
    <row r="10" spans="1:13" s="8" customFormat="1" ht="19.5" customHeight="1" x14ac:dyDescent="0.3">
      <c r="A10" s="412"/>
      <c r="B10" s="480" t="s">
        <v>7</v>
      </c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</row>
    <row r="11" spans="1:13" s="10" customFormat="1" ht="59.25" customHeight="1" x14ac:dyDescent="0.3">
      <c r="A11" s="413" t="s">
        <v>8</v>
      </c>
      <c r="B11" s="414"/>
      <c r="C11" s="414"/>
      <c r="D11" s="380" t="s">
        <v>9</v>
      </c>
      <c r="E11" s="321"/>
      <c r="F11" s="360"/>
      <c r="G11" s="360"/>
      <c r="H11" s="360"/>
      <c r="I11" s="360"/>
      <c r="J11" s="361"/>
      <c r="K11" s="361"/>
      <c r="L11" s="361"/>
      <c r="M11" s="361"/>
    </row>
    <row r="12" spans="1:13" s="10" customFormat="1" ht="38.25" customHeight="1" x14ac:dyDescent="0.3">
      <c r="A12" s="415" t="s">
        <v>10</v>
      </c>
      <c r="B12" s="416"/>
      <c r="C12" s="416"/>
      <c r="D12" s="237" t="s">
        <v>9</v>
      </c>
      <c r="E12" s="322"/>
      <c r="F12" s="362"/>
      <c r="G12" s="362"/>
      <c r="H12" s="362"/>
      <c r="I12" s="362"/>
      <c r="J12" s="363"/>
      <c r="K12" s="363"/>
      <c r="L12" s="363"/>
      <c r="M12" s="363"/>
    </row>
    <row r="13" spans="1:13" s="318" customFormat="1" ht="79.5" customHeight="1" x14ac:dyDescent="0.3">
      <c r="A13" s="159"/>
      <c r="B13" s="159"/>
      <c r="C13" s="159"/>
      <c r="D13" s="381"/>
      <c r="E13" s="323" t="s">
        <v>534</v>
      </c>
      <c r="F13" s="364">
        <f>F14+F15</f>
        <v>60.9</v>
      </c>
      <c r="G13" s="364">
        <f>G14+G15</f>
        <v>57.099999999999994</v>
      </c>
      <c r="H13" s="364">
        <f>H14+H15</f>
        <v>47.503230000000002</v>
      </c>
      <c r="I13" s="364">
        <f>H13/F13*100</f>
        <v>78.002019704433508</v>
      </c>
      <c r="J13" s="364">
        <f>J14+J15</f>
        <v>0</v>
      </c>
      <c r="K13" s="364">
        <f>K14+K15</f>
        <v>0</v>
      </c>
      <c r="L13" s="364">
        <f>L14+L15</f>
        <v>0</v>
      </c>
      <c r="M13" s="364"/>
    </row>
    <row r="14" spans="1:13" s="19" customFormat="1" ht="84" customHeight="1" x14ac:dyDescent="0.3">
      <c r="A14" s="159" t="s">
        <v>12</v>
      </c>
      <c r="B14" s="159" t="s">
        <v>13</v>
      </c>
      <c r="C14" s="159" t="s">
        <v>14</v>
      </c>
      <c r="D14" s="235" t="s">
        <v>15</v>
      </c>
      <c r="E14" s="324" t="s">
        <v>16</v>
      </c>
      <c r="F14" s="365">
        <v>17</v>
      </c>
      <c r="G14" s="365">
        <v>13.2</v>
      </c>
      <c r="H14" s="365">
        <v>3.5882299999999998</v>
      </c>
      <c r="I14" s="365"/>
      <c r="J14" s="365"/>
      <c r="K14" s="365"/>
      <c r="L14" s="365"/>
      <c r="M14" s="365"/>
    </row>
    <row r="15" spans="1:13" s="19" customFormat="1" ht="36" customHeight="1" x14ac:dyDescent="0.3">
      <c r="A15" s="159" t="s">
        <v>17</v>
      </c>
      <c r="B15" s="159" t="s">
        <v>18</v>
      </c>
      <c r="C15" s="159" t="s">
        <v>19</v>
      </c>
      <c r="D15" s="158" t="s">
        <v>20</v>
      </c>
      <c r="E15" s="324"/>
      <c r="F15" s="365">
        <f>F16</f>
        <v>43.9</v>
      </c>
      <c r="G15" s="365">
        <f>G16</f>
        <v>43.9</v>
      </c>
      <c r="H15" s="365">
        <f t="shared" ref="H15" si="0">H16</f>
        <v>43.914999999999999</v>
      </c>
      <c r="I15" s="365"/>
      <c r="J15" s="365">
        <f>J16</f>
        <v>0</v>
      </c>
      <c r="K15" s="365"/>
      <c r="L15" s="365"/>
      <c r="M15" s="365"/>
    </row>
    <row r="16" spans="1:13" s="19" customFormat="1" ht="87.75" customHeight="1" x14ac:dyDescent="0.3">
      <c r="A16" s="234" t="s">
        <v>21</v>
      </c>
      <c r="B16" s="234" t="s">
        <v>22</v>
      </c>
      <c r="C16" s="234" t="s">
        <v>19</v>
      </c>
      <c r="D16" s="235" t="s">
        <v>23</v>
      </c>
      <c r="E16" s="325" t="s">
        <v>24</v>
      </c>
      <c r="F16" s="365">
        <v>43.9</v>
      </c>
      <c r="G16" s="365">
        <v>43.9</v>
      </c>
      <c r="H16" s="365">
        <v>43.914999999999999</v>
      </c>
      <c r="I16" s="365"/>
      <c r="J16" s="365"/>
      <c r="K16" s="365"/>
      <c r="L16" s="365"/>
      <c r="M16" s="365"/>
    </row>
    <row r="17" spans="1:13" s="227" customFormat="1" ht="24" customHeight="1" x14ac:dyDescent="0.3">
      <c r="A17" s="159" t="s">
        <v>25</v>
      </c>
      <c r="B17" s="159" t="s">
        <v>26</v>
      </c>
      <c r="C17" s="159" t="s">
        <v>13</v>
      </c>
      <c r="D17" s="382" t="s">
        <v>27</v>
      </c>
      <c r="E17" s="326"/>
      <c r="F17" s="364">
        <f>F18+F24</f>
        <v>124.89999999999999</v>
      </c>
      <c r="G17" s="364">
        <f>G18+G24</f>
        <v>114.8</v>
      </c>
      <c r="H17" s="364">
        <f>H18+H24</f>
        <v>108.8</v>
      </c>
      <c r="I17" s="364">
        <f>H17/F17*100</f>
        <v>87.109687750200166</v>
      </c>
      <c r="J17" s="364">
        <f>J18+J24</f>
        <v>0</v>
      </c>
      <c r="K17" s="364">
        <f>K18+K24</f>
        <v>0</v>
      </c>
      <c r="L17" s="364">
        <f>L18+L24</f>
        <v>0</v>
      </c>
      <c r="M17" s="364"/>
    </row>
    <row r="18" spans="1:13" s="19" customFormat="1" ht="85.5" customHeight="1" x14ac:dyDescent="0.3">
      <c r="A18" s="233" t="s">
        <v>28</v>
      </c>
      <c r="B18" s="234" t="s">
        <v>29</v>
      </c>
      <c r="C18" s="234" t="s">
        <v>30</v>
      </c>
      <c r="D18" s="382" t="s">
        <v>27</v>
      </c>
      <c r="E18" s="327" t="s">
        <v>497</v>
      </c>
      <c r="F18" s="366">
        <f>F19+F20+F21+F22+F23</f>
        <v>109.89999999999999</v>
      </c>
      <c r="G18" s="366">
        <f>G19+G20+G21+G22+G23</f>
        <v>99.8</v>
      </c>
      <c r="H18" s="366">
        <f>H19+H20+H21+H22+H23</f>
        <v>94</v>
      </c>
      <c r="I18" s="366"/>
      <c r="J18" s="366">
        <v>0</v>
      </c>
      <c r="K18" s="366"/>
      <c r="L18" s="366"/>
      <c r="M18" s="366"/>
    </row>
    <row r="19" spans="1:13" s="19" customFormat="1" ht="27.75" customHeight="1" x14ac:dyDescent="0.3">
      <c r="A19" s="233"/>
      <c r="B19" s="234"/>
      <c r="C19" s="234"/>
      <c r="D19" s="382"/>
      <c r="E19" s="325" t="s">
        <v>296</v>
      </c>
      <c r="F19" s="366">
        <v>44.9</v>
      </c>
      <c r="G19" s="366">
        <v>36.799999999999997</v>
      </c>
      <c r="H19" s="366">
        <v>34.299999999999997</v>
      </c>
      <c r="I19" s="366"/>
      <c r="J19" s="366"/>
      <c r="K19" s="366"/>
      <c r="L19" s="366"/>
      <c r="M19" s="366"/>
    </row>
    <row r="20" spans="1:13" s="19" customFormat="1" ht="36" customHeight="1" x14ac:dyDescent="0.3">
      <c r="A20" s="233"/>
      <c r="B20" s="234"/>
      <c r="C20" s="234"/>
      <c r="D20" s="382"/>
      <c r="E20" s="325" t="s">
        <v>297</v>
      </c>
      <c r="F20" s="366">
        <v>24.2</v>
      </c>
      <c r="G20" s="366">
        <v>24.2</v>
      </c>
      <c r="H20" s="366">
        <v>22.2</v>
      </c>
      <c r="I20" s="366"/>
      <c r="J20" s="366"/>
      <c r="K20" s="366"/>
      <c r="L20" s="366"/>
      <c r="M20" s="366"/>
    </row>
    <row r="21" spans="1:13" s="19" customFormat="1" ht="25.5" customHeight="1" x14ac:dyDescent="0.3">
      <c r="A21" s="233"/>
      <c r="B21" s="234"/>
      <c r="C21" s="234"/>
      <c r="D21" s="382"/>
      <c r="E21" s="325" t="s">
        <v>298</v>
      </c>
      <c r="F21" s="366">
        <v>18</v>
      </c>
      <c r="G21" s="366">
        <v>16</v>
      </c>
      <c r="H21" s="366">
        <v>14.7</v>
      </c>
      <c r="I21" s="366"/>
      <c r="J21" s="366"/>
      <c r="K21" s="366"/>
      <c r="L21" s="366"/>
      <c r="M21" s="366"/>
    </row>
    <row r="22" spans="1:13" s="19" customFormat="1" ht="27" customHeight="1" x14ac:dyDescent="0.3">
      <c r="A22" s="233"/>
      <c r="B22" s="234"/>
      <c r="C22" s="234"/>
      <c r="D22" s="382"/>
      <c r="E22" s="325" t="s">
        <v>299</v>
      </c>
      <c r="F22" s="365">
        <v>22.8</v>
      </c>
      <c r="G22" s="365">
        <v>22.8</v>
      </c>
      <c r="H22" s="365">
        <v>22.8</v>
      </c>
      <c r="I22" s="366"/>
      <c r="J22" s="366"/>
      <c r="K22" s="366"/>
      <c r="L22" s="366"/>
      <c r="M22" s="366"/>
    </row>
    <row r="23" spans="1:13" s="19" customFormat="1" ht="0.75" hidden="1" customHeight="1" x14ac:dyDescent="0.3">
      <c r="A23" s="233"/>
      <c r="B23" s="234"/>
      <c r="C23" s="234"/>
      <c r="D23" s="382"/>
      <c r="E23" s="325" t="s">
        <v>446</v>
      </c>
      <c r="F23" s="365">
        <f>20-20</f>
        <v>0</v>
      </c>
      <c r="G23" s="365">
        <v>0</v>
      </c>
      <c r="H23" s="365">
        <v>0</v>
      </c>
      <c r="I23" s="366"/>
      <c r="J23" s="366"/>
      <c r="K23" s="366"/>
      <c r="L23" s="366"/>
      <c r="M23" s="366"/>
    </row>
    <row r="24" spans="1:13" s="19" customFormat="1" ht="91.5" customHeight="1" x14ac:dyDescent="0.3">
      <c r="A24" s="159" t="s">
        <v>32</v>
      </c>
      <c r="B24" s="234" t="s">
        <v>33</v>
      </c>
      <c r="C24" s="234" t="s">
        <v>30</v>
      </c>
      <c r="D24" s="382" t="s">
        <v>27</v>
      </c>
      <c r="E24" s="328" t="s">
        <v>498</v>
      </c>
      <c r="F24" s="366">
        <f>5+10</f>
        <v>15</v>
      </c>
      <c r="G24" s="366">
        <v>15</v>
      </c>
      <c r="H24" s="366">
        <v>14.8</v>
      </c>
      <c r="I24" s="366">
        <f>H24/F24*100</f>
        <v>98.666666666666671</v>
      </c>
      <c r="J24" s="366">
        <v>0</v>
      </c>
      <c r="K24" s="366"/>
      <c r="L24" s="366"/>
      <c r="M24" s="366"/>
    </row>
    <row r="25" spans="1:13" s="19" customFormat="1" ht="7.5" hidden="1" customHeight="1" x14ac:dyDescent="0.3">
      <c r="A25" s="417"/>
      <c r="B25" s="417"/>
      <c r="C25" s="417"/>
      <c r="D25" s="383"/>
      <c r="E25" s="329"/>
      <c r="F25" s="365"/>
      <c r="G25" s="365"/>
      <c r="H25" s="365"/>
      <c r="I25" s="365"/>
      <c r="J25" s="365"/>
      <c r="K25" s="365"/>
      <c r="L25" s="365"/>
      <c r="M25" s="365"/>
    </row>
    <row r="26" spans="1:13" s="19" customFormat="1" ht="114.75" customHeight="1" x14ac:dyDescent="0.3">
      <c r="A26" s="234" t="s">
        <v>35</v>
      </c>
      <c r="B26" s="234" t="s">
        <v>36</v>
      </c>
      <c r="C26" s="234" t="s">
        <v>37</v>
      </c>
      <c r="D26" s="235" t="s">
        <v>197</v>
      </c>
      <c r="E26" s="330" t="s">
        <v>500</v>
      </c>
      <c r="F26" s="365"/>
      <c r="G26" s="365"/>
      <c r="H26" s="365"/>
      <c r="I26" s="365"/>
      <c r="J26" s="366">
        <v>112</v>
      </c>
      <c r="K26" s="366">
        <f>24+88</f>
        <v>112</v>
      </c>
      <c r="L26" s="366">
        <v>63.4</v>
      </c>
      <c r="M26" s="366">
        <f>L26/J26*100</f>
        <v>56.607142857142854</v>
      </c>
    </row>
    <row r="27" spans="1:13" s="19" customFormat="1" ht="114.75" customHeight="1" x14ac:dyDescent="0.3">
      <c r="A27" s="418" t="s">
        <v>485</v>
      </c>
      <c r="B27" s="418" t="s">
        <v>486</v>
      </c>
      <c r="C27" s="418" t="s">
        <v>13</v>
      </c>
      <c r="D27" s="384" t="s">
        <v>487</v>
      </c>
      <c r="E27" s="331" t="s">
        <v>499</v>
      </c>
      <c r="F27" s="365"/>
      <c r="G27" s="365"/>
      <c r="H27" s="365"/>
      <c r="I27" s="365"/>
      <c r="J27" s="366">
        <v>20</v>
      </c>
      <c r="K27" s="366">
        <v>20</v>
      </c>
      <c r="L27" s="366">
        <v>20</v>
      </c>
      <c r="M27" s="366"/>
    </row>
    <row r="28" spans="1:13" s="32" customFormat="1" ht="21" customHeight="1" x14ac:dyDescent="0.3">
      <c r="A28" s="419"/>
      <c r="B28" s="420"/>
      <c r="C28" s="420"/>
      <c r="D28" s="385" t="s">
        <v>39</v>
      </c>
      <c r="E28" s="332"/>
      <c r="F28" s="367">
        <f>F17+F13+F26</f>
        <v>185.79999999999998</v>
      </c>
      <c r="G28" s="367">
        <f>G17+G13+G26</f>
        <v>171.89999999999998</v>
      </c>
      <c r="H28" s="367">
        <f>H17+H13+H26</f>
        <v>156.30322999999999</v>
      </c>
      <c r="I28" s="367">
        <f>H28/F28*100</f>
        <v>84.124451022604944</v>
      </c>
      <c r="J28" s="367">
        <f>J17+J13+J26+J27</f>
        <v>132</v>
      </c>
      <c r="K28" s="367">
        <f>K17+K13+K26+K27</f>
        <v>132</v>
      </c>
      <c r="L28" s="367">
        <f>L17+L13+L26+L27</f>
        <v>83.4</v>
      </c>
      <c r="M28" s="368">
        <f>L28/J28*100</f>
        <v>63.181818181818187</v>
      </c>
    </row>
    <row r="29" spans="1:13" s="37" customFormat="1" ht="60" customHeight="1" x14ac:dyDescent="0.35">
      <c r="A29" s="421" t="s">
        <v>40</v>
      </c>
      <c r="B29" s="422"/>
      <c r="C29" s="422"/>
      <c r="D29" s="380" t="s">
        <v>41</v>
      </c>
      <c r="E29" s="333"/>
      <c r="F29" s="369"/>
      <c r="G29" s="369"/>
      <c r="H29" s="369"/>
      <c r="I29" s="369"/>
      <c r="J29" s="369"/>
      <c r="K29" s="369"/>
      <c r="L29" s="369"/>
      <c r="M29" s="369"/>
    </row>
    <row r="30" spans="1:13" s="39" customFormat="1" ht="46.5" customHeight="1" x14ac:dyDescent="0.35">
      <c r="A30" s="423" t="s">
        <v>42</v>
      </c>
      <c r="B30" s="424"/>
      <c r="C30" s="424"/>
      <c r="D30" s="237" t="s">
        <v>41</v>
      </c>
      <c r="E30" s="334"/>
      <c r="F30" s="364"/>
      <c r="G30" s="364"/>
      <c r="H30" s="364"/>
      <c r="I30" s="364"/>
      <c r="J30" s="364"/>
      <c r="K30" s="364"/>
      <c r="L30" s="364"/>
      <c r="M30" s="364"/>
    </row>
    <row r="31" spans="1:13" s="39" customFormat="1" ht="30" customHeight="1" x14ac:dyDescent="0.35">
      <c r="A31" s="423" t="s">
        <v>43</v>
      </c>
      <c r="B31" s="424" t="s">
        <v>44</v>
      </c>
      <c r="C31" s="424" t="s">
        <v>45</v>
      </c>
      <c r="D31" s="235" t="s">
        <v>46</v>
      </c>
      <c r="E31" s="335" t="s">
        <v>39</v>
      </c>
      <c r="F31" s="364">
        <f>F33+F32+F39</f>
        <v>256.39999999999998</v>
      </c>
      <c r="G31" s="364">
        <f>G33+G32+G39</f>
        <v>215.9</v>
      </c>
      <c r="H31" s="364">
        <f>H33+H32+H39</f>
        <v>185</v>
      </c>
      <c r="I31" s="364">
        <f>H31/F31*100</f>
        <v>72.15288611544463</v>
      </c>
      <c r="J31" s="364">
        <f>J39</f>
        <v>70</v>
      </c>
      <c r="K31" s="364">
        <f>K39</f>
        <v>70</v>
      </c>
      <c r="L31" s="364">
        <f>L39</f>
        <v>40</v>
      </c>
      <c r="M31" s="364"/>
    </row>
    <row r="32" spans="1:13" s="39" customFormat="1" ht="87.75" customHeight="1" x14ac:dyDescent="0.35">
      <c r="A32" s="423"/>
      <c r="B32" s="424" t="s">
        <v>98</v>
      </c>
      <c r="C32" s="424"/>
      <c r="D32" s="387" t="s">
        <v>100</v>
      </c>
      <c r="E32" s="335" t="s">
        <v>504</v>
      </c>
      <c r="F32" s="364">
        <v>37.5</v>
      </c>
      <c r="G32" s="364">
        <v>37.5</v>
      </c>
      <c r="H32" s="364">
        <v>35.5</v>
      </c>
      <c r="I32" s="364">
        <f t="shared" ref="I32:I33" si="1">H32/F32*100</f>
        <v>94.666666666666671</v>
      </c>
      <c r="J32" s="364"/>
      <c r="K32" s="364"/>
      <c r="L32" s="364"/>
      <c r="M32" s="364"/>
    </row>
    <row r="33" spans="1:13" s="15" customFormat="1" ht="55.5" customHeight="1" x14ac:dyDescent="0.3">
      <c r="A33" s="419"/>
      <c r="B33" s="234" t="s">
        <v>47</v>
      </c>
      <c r="C33" s="234" t="s">
        <v>45</v>
      </c>
      <c r="D33" s="389" t="s">
        <v>46</v>
      </c>
      <c r="E33" s="330" t="s">
        <v>501</v>
      </c>
      <c r="F33" s="366">
        <f>F34+F35+F36+F37+F38</f>
        <v>172</v>
      </c>
      <c r="G33" s="366">
        <f>G34+G35+G36+G37+G38</f>
        <v>131.5</v>
      </c>
      <c r="H33" s="366">
        <f>H34+H35+H36+H37+H38</f>
        <v>108.6</v>
      </c>
      <c r="I33" s="364">
        <f t="shared" si="1"/>
        <v>63.139534883720927</v>
      </c>
      <c r="J33" s="366">
        <f>J34+J35+J37+J38</f>
        <v>0</v>
      </c>
      <c r="K33" s="366"/>
      <c r="L33" s="366"/>
      <c r="M33" s="366"/>
    </row>
    <row r="34" spans="1:13" s="15" customFormat="1" ht="27.75" customHeight="1" x14ac:dyDescent="0.3">
      <c r="A34" s="425"/>
      <c r="B34" s="234"/>
      <c r="C34" s="234"/>
      <c r="D34" s="389"/>
      <c r="E34" s="337" t="s">
        <v>287</v>
      </c>
      <c r="F34" s="365">
        <v>33.799999999999997</v>
      </c>
      <c r="G34" s="365">
        <v>23.8</v>
      </c>
      <c r="H34" s="365">
        <v>16.100000000000001</v>
      </c>
      <c r="I34" s="365"/>
      <c r="J34" s="365"/>
      <c r="K34" s="365"/>
      <c r="L34" s="365"/>
      <c r="M34" s="365"/>
    </row>
    <row r="35" spans="1:13" s="46" customFormat="1" ht="69.75" customHeight="1" x14ac:dyDescent="0.3">
      <c r="A35" s="417"/>
      <c r="B35" s="417"/>
      <c r="C35" s="417"/>
      <c r="D35" s="390"/>
      <c r="E35" s="338" t="s">
        <v>49</v>
      </c>
      <c r="F35" s="365">
        <v>68.7</v>
      </c>
      <c r="G35" s="365">
        <v>58.2</v>
      </c>
      <c r="H35" s="365">
        <v>49.3</v>
      </c>
      <c r="I35" s="365"/>
      <c r="J35" s="365"/>
      <c r="K35" s="365"/>
      <c r="L35" s="365"/>
      <c r="M35" s="365"/>
    </row>
    <row r="36" spans="1:13" s="46" customFormat="1" ht="20.25" customHeight="1" x14ac:dyDescent="0.3">
      <c r="A36" s="417"/>
      <c r="B36" s="417"/>
      <c r="C36" s="417"/>
      <c r="D36" s="390"/>
      <c r="E36" s="338" t="s">
        <v>288</v>
      </c>
      <c r="F36" s="365">
        <v>18.3</v>
      </c>
      <c r="G36" s="365">
        <v>18.3</v>
      </c>
      <c r="H36" s="365">
        <v>18.3</v>
      </c>
      <c r="I36" s="365"/>
      <c r="J36" s="365"/>
      <c r="K36" s="365"/>
      <c r="L36" s="365"/>
      <c r="M36" s="365"/>
    </row>
    <row r="37" spans="1:13" s="15" customFormat="1" ht="35.25" customHeight="1" x14ac:dyDescent="0.3">
      <c r="A37" s="419"/>
      <c r="B37" s="420"/>
      <c r="C37" s="420"/>
      <c r="D37" s="391"/>
      <c r="E37" s="337" t="s">
        <v>289</v>
      </c>
      <c r="F37" s="365">
        <v>31.2</v>
      </c>
      <c r="G37" s="365">
        <v>11.2</v>
      </c>
      <c r="H37" s="365">
        <v>5.8</v>
      </c>
      <c r="I37" s="365"/>
      <c r="J37" s="366"/>
      <c r="K37" s="366"/>
      <c r="L37" s="366"/>
      <c r="M37" s="366"/>
    </row>
    <row r="38" spans="1:13" s="15" customFormat="1" ht="20.25" customHeight="1" x14ac:dyDescent="0.3">
      <c r="A38" s="426"/>
      <c r="B38" s="427"/>
      <c r="C38" s="427"/>
      <c r="D38" s="391"/>
      <c r="E38" s="337" t="s">
        <v>325</v>
      </c>
      <c r="F38" s="365">
        <v>20</v>
      </c>
      <c r="G38" s="365">
        <v>20</v>
      </c>
      <c r="H38" s="365">
        <v>19.100000000000001</v>
      </c>
      <c r="I38" s="365"/>
      <c r="J38" s="366"/>
      <c r="K38" s="366"/>
      <c r="L38" s="366"/>
      <c r="M38" s="366"/>
    </row>
    <row r="39" spans="1:13" s="15" customFormat="1" ht="96.75" customHeight="1" x14ac:dyDescent="0.35">
      <c r="A39" s="428" t="s">
        <v>463</v>
      </c>
      <c r="B39" s="418" t="s">
        <v>210</v>
      </c>
      <c r="C39" s="234" t="s">
        <v>211</v>
      </c>
      <c r="D39" s="315" t="s">
        <v>464</v>
      </c>
      <c r="E39" s="339" t="s">
        <v>505</v>
      </c>
      <c r="F39" s="366">
        <v>46.9</v>
      </c>
      <c r="G39" s="366">
        <v>46.9</v>
      </c>
      <c r="H39" s="366">
        <v>40.9</v>
      </c>
      <c r="I39" s="366">
        <f>H39/F39*100</f>
        <v>87.206823027718556</v>
      </c>
      <c r="J39" s="366">
        <v>70</v>
      </c>
      <c r="K39" s="366">
        <v>70</v>
      </c>
      <c r="L39" s="366">
        <v>40</v>
      </c>
      <c r="M39" s="366">
        <f>L39/J39*100</f>
        <v>57.142857142857139</v>
      </c>
    </row>
    <row r="40" spans="1:13" s="51" customFormat="1" ht="58.5" customHeight="1" x14ac:dyDescent="0.3">
      <c r="A40" s="429">
        <v>1100000</v>
      </c>
      <c r="B40" s="430"/>
      <c r="C40" s="430"/>
      <c r="D40" s="392" t="s">
        <v>502</v>
      </c>
      <c r="E40" s="340"/>
      <c r="F40" s="370"/>
      <c r="G40" s="370"/>
      <c r="H40" s="370"/>
      <c r="I40" s="370"/>
      <c r="J40" s="371"/>
      <c r="K40" s="371"/>
      <c r="L40" s="371"/>
      <c r="M40" s="371"/>
    </row>
    <row r="41" spans="1:13" s="53" customFormat="1" ht="60.75" customHeight="1" x14ac:dyDescent="0.3">
      <c r="A41" s="426">
        <v>1110000</v>
      </c>
      <c r="B41" s="459"/>
      <c r="C41" s="459"/>
      <c r="D41" s="386" t="s">
        <v>502</v>
      </c>
      <c r="E41" s="336"/>
      <c r="F41" s="366"/>
      <c r="G41" s="366"/>
      <c r="H41" s="366"/>
      <c r="I41" s="366"/>
      <c r="J41" s="460"/>
      <c r="K41" s="460"/>
      <c r="L41" s="460"/>
      <c r="M41" s="460"/>
    </row>
    <row r="42" spans="1:13" s="51" customFormat="1" ht="63" customHeight="1" x14ac:dyDescent="0.3">
      <c r="A42" s="426">
        <v>1113132</v>
      </c>
      <c r="B42" s="234" t="s">
        <v>52</v>
      </c>
      <c r="C42" s="234" t="s">
        <v>53</v>
      </c>
      <c r="D42" s="393" t="s">
        <v>54</v>
      </c>
      <c r="E42" s="336" t="s">
        <v>503</v>
      </c>
      <c r="F42" s="366">
        <f>F43</f>
        <v>1.5</v>
      </c>
      <c r="G42" s="366">
        <f>G43</f>
        <v>1.5</v>
      </c>
      <c r="H42" s="366">
        <f>H43</f>
        <v>1.5</v>
      </c>
      <c r="I42" s="366">
        <f>H42/F42*100</f>
        <v>100</v>
      </c>
      <c r="J42" s="366">
        <f>J43</f>
        <v>0</v>
      </c>
      <c r="K42" s="366"/>
      <c r="L42" s="366"/>
      <c r="M42" s="366"/>
    </row>
    <row r="43" spans="1:13" s="51" customFormat="1" ht="30" customHeight="1" x14ac:dyDescent="0.3">
      <c r="A43" s="425"/>
      <c r="B43" s="234"/>
      <c r="C43" s="234"/>
      <c r="D43" s="389"/>
      <c r="E43" s="337" t="s">
        <v>506</v>
      </c>
      <c r="F43" s="365">
        <v>1.5</v>
      </c>
      <c r="G43" s="365">
        <v>1.5</v>
      </c>
      <c r="H43" s="365">
        <v>1.5</v>
      </c>
      <c r="I43" s="365"/>
      <c r="J43" s="365"/>
      <c r="K43" s="365"/>
      <c r="L43" s="365"/>
      <c r="M43" s="365"/>
    </row>
    <row r="44" spans="1:13" s="56" customFormat="1" ht="24.75" customHeight="1" x14ac:dyDescent="0.3">
      <c r="A44" s="417"/>
      <c r="B44" s="417"/>
      <c r="C44" s="417"/>
      <c r="D44" s="385" t="s">
        <v>50</v>
      </c>
      <c r="E44" s="341"/>
      <c r="F44" s="367">
        <f>F42</f>
        <v>1.5</v>
      </c>
      <c r="G44" s="367">
        <f>G42</f>
        <v>1.5</v>
      </c>
      <c r="H44" s="367">
        <f t="shared" ref="H44:I44" si="2">H42</f>
        <v>1.5</v>
      </c>
      <c r="I44" s="367">
        <f t="shared" si="2"/>
        <v>100</v>
      </c>
      <c r="J44" s="367">
        <f>J42</f>
        <v>0</v>
      </c>
      <c r="K44" s="367"/>
      <c r="L44" s="367"/>
      <c r="M44" s="367"/>
    </row>
    <row r="45" spans="1:13" s="19" customFormat="1" ht="78" customHeight="1" x14ac:dyDescent="0.3">
      <c r="A45" s="431" t="s">
        <v>57</v>
      </c>
      <c r="B45" s="432"/>
      <c r="C45" s="432"/>
      <c r="D45" s="380" t="s">
        <v>507</v>
      </c>
      <c r="E45" s="342"/>
      <c r="F45" s="372"/>
      <c r="G45" s="372"/>
      <c r="H45" s="372"/>
      <c r="I45" s="372"/>
      <c r="J45" s="372"/>
      <c r="K45" s="372"/>
      <c r="L45" s="372"/>
      <c r="M45" s="372"/>
    </row>
    <row r="46" spans="1:13" s="227" customFormat="1" ht="60" customHeight="1" x14ac:dyDescent="0.3">
      <c r="A46" s="427" t="s">
        <v>59</v>
      </c>
      <c r="B46" s="417"/>
      <c r="C46" s="417"/>
      <c r="D46" s="237" t="s">
        <v>507</v>
      </c>
      <c r="E46" s="450"/>
      <c r="F46" s="365"/>
      <c r="G46" s="365"/>
      <c r="H46" s="365"/>
      <c r="I46" s="365"/>
      <c r="J46" s="365"/>
      <c r="K46" s="365"/>
      <c r="L46" s="365"/>
      <c r="M46" s="365"/>
    </row>
    <row r="47" spans="1:13" s="227" customFormat="1" ht="60.75" customHeight="1" x14ac:dyDescent="0.3">
      <c r="A47" s="427" t="s">
        <v>60</v>
      </c>
      <c r="B47" s="234" t="s">
        <v>61</v>
      </c>
      <c r="C47" s="417"/>
      <c r="D47" s="458" t="s">
        <v>62</v>
      </c>
      <c r="E47" s="451" t="s">
        <v>508</v>
      </c>
      <c r="F47" s="366">
        <f>F48+F49+F53+F54+F55+F56</f>
        <v>563.29999999999995</v>
      </c>
      <c r="G47" s="366">
        <f>G48+G49+G53+G54+G55+G56</f>
        <v>555.20000000000005</v>
      </c>
      <c r="H47" s="366">
        <f>H48+H49+H53+H54+H55+H56</f>
        <v>418.29999999999995</v>
      </c>
      <c r="I47" s="366">
        <f>H47/F47*100</f>
        <v>74.258831883543408</v>
      </c>
      <c r="J47" s="366">
        <f>J48+J49+J53+J54+J55+J56</f>
        <v>111.6</v>
      </c>
      <c r="K47" s="366">
        <f>K48+K49+K53+K54+K55+K56</f>
        <v>65.599999999999994</v>
      </c>
      <c r="L47" s="366">
        <f>L48+L49+L53+L54+L55+L56</f>
        <v>15.6</v>
      </c>
      <c r="M47" s="366">
        <f>L47/J47*100</f>
        <v>13.978494623655916</v>
      </c>
    </row>
    <row r="48" spans="1:13" s="19" customFormat="1" ht="83.25" customHeight="1" x14ac:dyDescent="0.3">
      <c r="A48" s="234" t="s">
        <v>63</v>
      </c>
      <c r="B48" s="234" t="s">
        <v>64</v>
      </c>
      <c r="C48" s="234" t="s">
        <v>65</v>
      </c>
      <c r="D48" s="235" t="s">
        <v>66</v>
      </c>
      <c r="E48" s="338" t="s">
        <v>67</v>
      </c>
      <c r="F48" s="366">
        <v>149.5</v>
      </c>
      <c r="G48" s="366">
        <v>149.5</v>
      </c>
      <c r="H48" s="366">
        <v>103.4</v>
      </c>
      <c r="I48" s="366"/>
      <c r="J48" s="366"/>
      <c r="K48" s="366"/>
      <c r="L48" s="366"/>
      <c r="M48" s="366"/>
    </row>
    <row r="49" spans="1:13" s="19" customFormat="1" ht="40.5" customHeight="1" x14ac:dyDescent="0.3">
      <c r="A49" s="417" t="s">
        <v>68</v>
      </c>
      <c r="B49" s="417" t="s">
        <v>69</v>
      </c>
      <c r="C49" s="417" t="s">
        <v>70</v>
      </c>
      <c r="D49" s="235" t="s">
        <v>71</v>
      </c>
      <c r="E49" s="338" t="s">
        <v>72</v>
      </c>
      <c r="F49" s="366">
        <f>F50+F51+F52</f>
        <v>75.400000000000006</v>
      </c>
      <c r="G49" s="366">
        <v>67.3</v>
      </c>
      <c r="H49" s="366">
        <v>12.8</v>
      </c>
      <c r="I49" s="366">
        <f>H49/F49*100</f>
        <v>16.976127320954905</v>
      </c>
      <c r="J49" s="366">
        <f>J50+J51+J52</f>
        <v>0</v>
      </c>
      <c r="K49" s="366"/>
      <c r="L49" s="366"/>
      <c r="M49" s="366"/>
    </row>
    <row r="50" spans="1:13" s="51" customFormat="1" ht="36" customHeight="1" x14ac:dyDescent="0.3">
      <c r="A50" s="234"/>
      <c r="B50" s="234"/>
      <c r="C50" s="234"/>
      <c r="D50" s="393"/>
      <c r="E50" s="337" t="s">
        <v>73</v>
      </c>
      <c r="F50" s="365">
        <v>15</v>
      </c>
      <c r="G50" s="365">
        <v>12</v>
      </c>
      <c r="H50" s="365">
        <v>1.1000000000000001</v>
      </c>
      <c r="I50" s="365"/>
      <c r="J50" s="365"/>
      <c r="K50" s="365"/>
      <c r="L50" s="365"/>
      <c r="M50" s="365"/>
    </row>
    <row r="51" spans="1:13" s="51" customFormat="1" ht="81.75" customHeight="1" x14ac:dyDescent="0.3">
      <c r="A51" s="425"/>
      <c r="B51" s="234"/>
      <c r="C51" s="234"/>
      <c r="D51" s="389"/>
      <c r="E51" s="337" t="s">
        <v>412</v>
      </c>
      <c r="F51" s="365">
        <v>40</v>
      </c>
      <c r="G51" s="365">
        <v>40</v>
      </c>
      <c r="H51" s="365">
        <v>7.7</v>
      </c>
      <c r="I51" s="365"/>
      <c r="J51" s="365"/>
      <c r="K51" s="365"/>
      <c r="L51" s="365"/>
      <c r="M51" s="365"/>
    </row>
    <row r="52" spans="1:13" s="19" customFormat="1" ht="33" customHeight="1" x14ac:dyDescent="0.3">
      <c r="A52" s="417"/>
      <c r="B52" s="417"/>
      <c r="C52" s="417"/>
      <c r="D52" s="394"/>
      <c r="E52" s="337" t="s">
        <v>75</v>
      </c>
      <c r="F52" s="365">
        <v>20.399999999999999</v>
      </c>
      <c r="G52" s="365">
        <v>15.3</v>
      </c>
      <c r="H52" s="365">
        <v>4.0999999999999996</v>
      </c>
      <c r="I52" s="365"/>
      <c r="J52" s="365"/>
      <c r="K52" s="365"/>
      <c r="L52" s="365"/>
      <c r="M52" s="365"/>
    </row>
    <row r="53" spans="1:13" s="51" customFormat="1" ht="85.5" customHeight="1" x14ac:dyDescent="0.3">
      <c r="A53" s="234" t="s">
        <v>76</v>
      </c>
      <c r="B53" s="234" t="s">
        <v>77</v>
      </c>
      <c r="C53" s="234" t="s">
        <v>70</v>
      </c>
      <c r="D53" s="393" t="s">
        <v>78</v>
      </c>
      <c r="E53" s="337" t="s">
        <v>79</v>
      </c>
      <c r="F53" s="366">
        <v>30</v>
      </c>
      <c r="G53" s="366">
        <v>30</v>
      </c>
      <c r="H53" s="366">
        <v>30</v>
      </c>
      <c r="I53" s="366">
        <f t="shared" ref="I53:I62" si="3">H53/F53*100</f>
        <v>100</v>
      </c>
      <c r="J53" s="366">
        <v>0</v>
      </c>
      <c r="K53" s="366"/>
      <c r="L53" s="366"/>
      <c r="M53" s="366"/>
    </row>
    <row r="54" spans="1:13" s="51" customFormat="1" ht="69.75" customHeight="1" x14ac:dyDescent="0.3">
      <c r="A54" s="234" t="s">
        <v>80</v>
      </c>
      <c r="B54" s="234" t="s">
        <v>81</v>
      </c>
      <c r="C54" s="234" t="s">
        <v>70</v>
      </c>
      <c r="D54" s="393" t="s">
        <v>82</v>
      </c>
      <c r="E54" s="338" t="s">
        <v>83</v>
      </c>
      <c r="F54" s="366">
        <v>150</v>
      </c>
      <c r="G54" s="366">
        <v>150</v>
      </c>
      <c r="H54" s="366">
        <v>113.7</v>
      </c>
      <c r="I54" s="366">
        <f t="shared" si="3"/>
        <v>75.8</v>
      </c>
      <c r="J54" s="366"/>
      <c r="K54" s="366"/>
      <c r="L54" s="366"/>
      <c r="M54" s="366"/>
    </row>
    <row r="55" spans="1:13" s="19" customFormat="1" ht="71.25" customHeight="1" x14ac:dyDescent="0.3">
      <c r="A55" s="234" t="s">
        <v>84</v>
      </c>
      <c r="B55" s="234" t="s">
        <v>85</v>
      </c>
      <c r="C55" s="234" t="s">
        <v>70</v>
      </c>
      <c r="D55" s="393" t="s">
        <v>86</v>
      </c>
      <c r="E55" s="336" t="s">
        <v>87</v>
      </c>
      <c r="F55" s="366">
        <v>158.4</v>
      </c>
      <c r="G55" s="366">
        <v>158.4</v>
      </c>
      <c r="H55" s="366">
        <v>158.4</v>
      </c>
      <c r="I55" s="366">
        <f t="shared" si="3"/>
        <v>100</v>
      </c>
      <c r="J55" s="366"/>
      <c r="K55" s="366"/>
      <c r="L55" s="366"/>
      <c r="M55" s="366"/>
    </row>
    <row r="56" spans="1:13" s="19" customFormat="1" ht="148.5" customHeight="1" x14ac:dyDescent="0.3">
      <c r="A56" s="234" t="s">
        <v>447</v>
      </c>
      <c r="B56" s="234" t="s">
        <v>448</v>
      </c>
      <c r="C56" s="234" t="s">
        <v>30</v>
      </c>
      <c r="D56" s="393" t="s">
        <v>449</v>
      </c>
      <c r="E56" s="337" t="s">
        <v>450</v>
      </c>
      <c r="F56" s="366"/>
      <c r="G56" s="366"/>
      <c r="H56" s="366"/>
      <c r="I56" s="366"/>
      <c r="J56" s="366">
        <v>111.6</v>
      </c>
      <c r="K56" s="366">
        <v>65.599999999999994</v>
      </c>
      <c r="L56" s="366">
        <v>15.6</v>
      </c>
      <c r="M56" s="366"/>
    </row>
    <row r="57" spans="1:13" s="227" customFormat="1" ht="63" customHeight="1" x14ac:dyDescent="0.3">
      <c r="A57" s="234" t="s">
        <v>88</v>
      </c>
      <c r="B57" s="234" t="s">
        <v>89</v>
      </c>
      <c r="C57" s="234" t="s">
        <v>70</v>
      </c>
      <c r="D57" s="235" t="s">
        <v>90</v>
      </c>
      <c r="E57" s="323" t="s">
        <v>509</v>
      </c>
      <c r="F57" s="366">
        <f>F58+F59+F60+F61</f>
        <v>497.75</v>
      </c>
      <c r="G57" s="366">
        <f>G58+G59+G60+G61</f>
        <v>383.8</v>
      </c>
      <c r="H57" s="366">
        <f>H58+H59+H60+H61</f>
        <v>274.2</v>
      </c>
      <c r="I57" s="366">
        <f t="shared" si="3"/>
        <v>55.087895529884477</v>
      </c>
      <c r="J57" s="366">
        <v>0</v>
      </c>
      <c r="K57" s="366">
        <v>0</v>
      </c>
      <c r="L57" s="366">
        <f t="shared" ref="L57" si="4">L58+L59+L60+L61+L47</f>
        <v>15.6</v>
      </c>
      <c r="M57" s="366" t="e">
        <f>L57/J57*100</f>
        <v>#DIV/0!</v>
      </c>
    </row>
    <row r="58" spans="1:13" s="19" customFormat="1" ht="55.5" customHeight="1" x14ac:dyDescent="0.3">
      <c r="A58" s="234" t="s">
        <v>91</v>
      </c>
      <c r="B58" s="425">
        <v>2221</v>
      </c>
      <c r="C58" s="234" t="s">
        <v>70</v>
      </c>
      <c r="D58" s="393"/>
      <c r="E58" s="336" t="s">
        <v>280</v>
      </c>
      <c r="F58" s="366">
        <v>130</v>
      </c>
      <c r="G58" s="366">
        <v>98.5</v>
      </c>
      <c r="H58" s="366">
        <v>69.7</v>
      </c>
      <c r="I58" s="366">
        <f t="shared" si="3"/>
        <v>53.61538461538462</v>
      </c>
      <c r="J58" s="365"/>
      <c r="K58" s="365"/>
      <c r="L58" s="365"/>
      <c r="M58" s="365"/>
    </row>
    <row r="59" spans="1:13" s="19" customFormat="1" ht="102" customHeight="1" x14ac:dyDescent="0.3">
      <c r="A59" s="234" t="s">
        <v>92</v>
      </c>
      <c r="B59" s="425">
        <v>2222</v>
      </c>
      <c r="C59" s="234" t="s">
        <v>70</v>
      </c>
      <c r="D59" s="393"/>
      <c r="E59" s="344" t="s">
        <v>93</v>
      </c>
      <c r="F59" s="366">
        <v>72</v>
      </c>
      <c r="G59" s="366">
        <v>54</v>
      </c>
      <c r="H59" s="366">
        <v>25.2</v>
      </c>
      <c r="I59" s="366">
        <f t="shared" si="3"/>
        <v>35</v>
      </c>
      <c r="J59" s="366"/>
      <c r="K59" s="366"/>
      <c r="L59" s="366"/>
      <c r="M59" s="366"/>
    </row>
    <row r="60" spans="1:13" s="19" customFormat="1" ht="86.25" customHeight="1" x14ac:dyDescent="0.3">
      <c r="A60" s="234" t="s">
        <v>94</v>
      </c>
      <c r="B60" s="425">
        <v>2223</v>
      </c>
      <c r="C60" s="234" t="s">
        <v>70</v>
      </c>
      <c r="D60" s="393"/>
      <c r="E60" s="337" t="s">
        <v>95</v>
      </c>
      <c r="F60" s="366">
        <v>236</v>
      </c>
      <c r="G60" s="366">
        <v>171.5</v>
      </c>
      <c r="H60" s="366">
        <v>120</v>
      </c>
      <c r="I60" s="366">
        <f t="shared" si="3"/>
        <v>50.847457627118644</v>
      </c>
      <c r="J60" s="366"/>
      <c r="K60" s="366"/>
      <c r="L60" s="366"/>
      <c r="M60" s="366"/>
    </row>
    <row r="61" spans="1:13" s="51" customFormat="1" ht="69.75" customHeight="1" x14ac:dyDescent="0.3">
      <c r="A61" s="425">
        <v>1512224</v>
      </c>
      <c r="B61" s="234" t="s">
        <v>96</v>
      </c>
      <c r="C61" s="234" t="s">
        <v>70</v>
      </c>
      <c r="D61" s="235"/>
      <c r="E61" s="336" t="s">
        <v>97</v>
      </c>
      <c r="F61" s="366">
        <v>59.75</v>
      </c>
      <c r="G61" s="366">
        <v>59.8</v>
      </c>
      <c r="H61" s="366">
        <v>59.3</v>
      </c>
      <c r="I61" s="366">
        <f t="shared" si="3"/>
        <v>99.246861924686186</v>
      </c>
      <c r="J61" s="366"/>
      <c r="K61" s="366"/>
      <c r="L61" s="366"/>
      <c r="M61" s="366"/>
    </row>
    <row r="62" spans="1:13" s="64" customFormat="1" ht="85.5" customHeight="1" x14ac:dyDescent="0.3">
      <c r="A62" s="425">
        <v>1513240</v>
      </c>
      <c r="B62" s="234" t="s">
        <v>98</v>
      </c>
      <c r="C62" s="234" t="s">
        <v>99</v>
      </c>
      <c r="D62" s="387" t="s">
        <v>100</v>
      </c>
      <c r="E62" s="338" t="s">
        <v>101</v>
      </c>
      <c r="F62" s="366">
        <f>50+23.5</f>
        <v>73.5</v>
      </c>
      <c r="G62" s="366">
        <v>66.599999999999994</v>
      </c>
      <c r="H62" s="366">
        <v>63.2</v>
      </c>
      <c r="I62" s="366">
        <f t="shared" si="3"/>
        <v>85.986394557823132</v>
      </c>
      <c r="J62" s="366"/>
      <c r="K62" s="366"/>
      <c r="L62" s="366"/>
      <c r="M62" s="366"/>
    </row>
    <row r="63" spans="1:13" s="65" customFormat="1" ht="54" customHeight="1" x14ac:dyDescent="0.3">
      <c r="A63" s="426">
        <v>1513190</v>
      </c>
      <c r="B63" s="234" t="s">
        <v>102</v>
      </c>
      <c r="C63" s="234" t="s">
        <v>103</v>
      </c>
      <c r="D63" s="391"/>
      <c r="E63" s="336" t="s">
        <v>539</v>
      </c>
      <c r="F63" s="366">
        <f>F64+F65+F68</f>
        <v>384.4</v>
      </c>
      <c r="G63" s="366">
        <f>G64+G65+G68</f>
        <v>288.10000000000002</v>
      </c>
      <c r="H63" s="366">
        <f>H64+H65+H68</f>
        <v>77.5</v>
      </c>
      <c r="I63" s="366">
        <f t="shared" ref="I63:M63" si="5">I64+I65+I68</f>
        <v>0</v>
      </c>
      <c r="J63" s="366">
        <f>J64+J65+J68</f>
        <v>500</v>
      </c>
      <c r="K63" s="366">
        <f t="shared" si="5"/>
        <v>0</v>
      </c>
      <c r="L63" s="366">
        <f t="shared" si="5"/>
        <v>0</v>
      </c>
      <c r="M63" s="366">
        <f t="shared" si="5"/>
        <v>0</v>
      </c>
    </row>
    <row r="64" spans="1:13" s="65" customFormat="1" ht="132" customHeight="1" x14ac:dyDescent="0.3">
      <c r="A64" s="425">
        <v>1513190</v>
      </c>
      <c r="B64" s="234" t="s">
        <v>102</v>
      </c>
      <c r="C64" s="234" t="s">
        <v>103</v>
      </c>
      <c r="D64" s="235" t="s">
        <v>104</v>
      </c>
      <c r="E64" s="337" t="s">
        <v>300</v>
      </c>
      <c r="F64" s="365">
        <v>150</v>
      </c>
      <c r="G64" s="365">
        <v>112.5</v>
      </c>
      <c r="H64" s="365">
        <v>23.3</v>
      </c>
      <c r="I64" s="365"/>
      <c r="J64" s="365"/>
      <c r="K64" s="365"/>
      <c r="L64" s="365"/>
      <c r="M64" s="365"/>
    </row>
    <row r="65" spans="1:13" s="65" customFormat="1" ht="33.75" customHeight="1" x14ac:dyDescent="0.3">
      <c r="A65" s="425">
        <v>1513200</v>
      </c>
      <c r="B65" s="234" t="s">
        <v>105</v>
      </c>
      <c r="C65" s="234"/>
      <c r="D65" s="235" t="s">
        <v>106</v>
      </c>
      <c r="E65" s="337"/>
      <c r="F65" s="365">
        <f>F66+F67</f>
        <v>234.4</v>
      </c>
      <c r="G65" s="365">
        <f>G66+G67</f>
        <v>175.6</v>
      </c>
      <c r="H65" s="365">
        <f>H66+H67</f>
        <v>54.2</v>
      </c>
      <c r="I65" s="365"/>
      <c r="J65" s="365">
        <f>J66+J67</f>
        <v>0</v>
      </c>
      <c r="K65" s="365"/>
      <c r="L65" s="365"/>
      <c r="M65" s="365"/>
    </row>
    <row r="66" spans="1:13" s="65" customFormat="1" ht="133.5" customHeight="1" x14ac:dyDescent="0.3">
      <c r="A66" s="425">
        <v>1513201</v>
      </c>
      <c r="B66" s="234" t="s">
        <v>107</v>
      </c>
      <c r="C66" s="234" t="s">
        <v>108</v>
      </c>
      <c r="D66" s="235" t="s">
        <v>109</v>
      </c>
      <c r="E66" s="337" t="s">
        <v>110</v>
      </c>
      <c r="F66" s="365">
        <v>200</v>
      </c>
      <c r="G66" s="365">
        <v>149</v>
      </c>
      <c r="H66" s="365">
        <v>30</v>
      </c>
      <c r="I66" s="365"/>
      <c r="J66" s="365"/>
      <c r="K66" s="365"/>
      <c r="L66" s="365"/>
      <c r="M66" s="365"/>
    </row>
    <row r="67" spans="1:13" s="10" customFormat="1" ht="65.25" customHeight="1" x14ac:dyDescent="0.3">
      <c r="A67" s="425">
        <v>1513202</v>
      </c>
      <c r="B67" s="425">
        <v>3202</v>
      </c>
      <c r="C67" s="425">
        <v>1030</v>
      </c>
      <c r="D67" s="235" t="s">
        <v>111</v>
      </c>
      <c r="E67" s="337" t="s">
        <v>112</v>
      </c>
      <c r="F67" s="365">
        <v>34.4</v>
      </c>
      <c r="G67" s="365">
        <v>26.6</v>
      </c>
      <c r="H67" s="365">
        <v>24.2</v>
      </c>
      <c r="I67" s="365"/>
      <c r="J67" s="365"/>
      <c r="K67" s="365"/>
      <c r="L67" s="365"/>
      <c r="M67" s="365"/>
    </row>
    <row r="68" spans="1:13" s="10" customFormat="1" ht="101.25" customHeight="1" x14ac:dyDescent="0.3">
      <c r="A68" s="233" t="s">
        <v>359</v>
      </c>
      <c r="B68" s="233" t="s">
        <v>360</v>
      </c>
      <c r="C68" s="233" t="s">
        <v>103</v>
      </c>
      <c r="D68" s="238" t="s">
        <v>361</v>
      </c>
      <c r="E68" s="337" t="s">
        <v>358</v>
      </c>
      <c r="F68" s="365"/>
      <c r="G68" s="365"/>
      <c r="H68" s="365"/>
      <c r="I68" s="365"/>
      <c r="J68" s="365">
        <v>500</v>
      </c>
      <c r="K68" s="365">
        <v>0</v>
      </c>
      <c r="L68" s="365">
        <v>0</v>
      </c>
      <c r="M68" s="365"/>
    </row>
    <row r="69" spans="1:13" s="65" customFormat="1" ht="57.75" customHeight="1" x14ac:dyDescent="0.3">
      <c r="A69" s="234"/>
      <c r="B69" s="234"/>
      <c r="C69" s="234"/>
      <c r="D69" s="389"/>
      <c r="E69" s="337" t="s">
        <v>510</v>
      </c>
      <c r="F69" s="366">
        <f>F70+F76+F78+F79+F82</f>
        <v>5212.2999999999993</v>
      </c>
      <c r="G69" s="366">
        <f>G70+G76+G78+G79+G82</f>
        <v>3559.1</v>
      </c>
      <c r="H69" s="366">
        <f>H70+H76+H78+H79+H82</f>
        <v>2902.2</v>
      </c>
      <c r="I69" s="366"/>
      <c r="J69" s="366"/>
      <c r="K69" s="366"/>
      <c r="L69" s="366"/>
      <c r="M69" s="366"/>
    </row>
    <row r="70" spans="1:13" s="65" customFormat="1" ht="292.5" customHeight="1" x14ac:dyDescent="0.3">
      <c r="A70" s="159" t="s">
        <v>114</v>
      </c>
      <c r="B70" s="159" t="s">
        <v>115</v>
      </c>
      <c r="C70" s="159" t="s">
        <v>108</v>
      </c>
      <c r="D70" s="158" t="s">
        <v>116</v>
      </c>
      <c r="E70" s="337"/>
      <c r="F70" s="366">
        <f>F74+F75+F71+F72+F73</f>
        <v>1965.1</v>
      </c>
      <c r="G70" s="366">
        <f>G74+G75+G71+G72+G73</f>
        <v>1720.5</v>
      </c>
      <c r="H70" s="366">
        <f>H74+H75+H71+H72+H73</f>
        <v>1491.6</v>
      </c>
      <c r="I70" s="366"/>
      <c r="J70" s="366"/>
      <c r="K70" s="366"/>
      <c r="L70" s="366"/>
      <c r="M70" s="366"/>
    </row>
    <row r="71" spans="1:13" s="228" customFormat="1" ht="25.5" customHeight="1" x14ac:dyDescent="0.3">
      <c r="A71" s="425">
        <v>1513031</v>
      </c>
      <c r="B71" s="234" t="s">
        <v>326</v>
      </c>
      <c r="C71" s="234"/>
      <c r="D71" s="393"/>
      <c r="E71" s="337" t="s">
        <v>329</v>
      </c>
      <c r="F71" s="365">
        <v>75</v>
      </c>
      <c r="G71" s="365">
        <v>60</v>
      </c>
      <c r="H71" s="365">
        <v>0</v>
      </c>
      <c r="I71" s="365"/>
      <c r="J71" s="365"/>
      <c r="K71" s="365"/>
      <c r="L71" s="365"/>
      <c r="M71" s="365"/>
    </row>
    <row r="72" spans="1:13" s="228" customFormat="1" ht="38.25" customHeight="1" x14ac:dyDescent="0.3">
      <c r="A72" s="425">
        <v>1513033</v>
      </c>
      <c r="B72" s="234" t="s">
        <v>327</v>
      </c>
      <c r="C72" s="234"/>
      <c r="D72" s="393"/>
      <c r="E72" s="337" t="s">
        <v>330</v>
      </c>
      <c r="F72" s="365">
        <v>29</v>
      </c>
      <c r="G72" s="365">
        <v>19</v>
      </c>
      <c r="H72" s="365">
        <v>11.6</v>
      </c>
      <c r="I72" s="365"/>
      <c r="J72" s="365"/>
      <c r="K72" s="365"/>
      <c r="L72" s="365"/>
      <c r="M72" s="365"/>
    </row>
    <row r="73" spans="1:13" s="228" customFormat="1" ht="38.25" customHeight="1" x14ac:dyDescent="0.3">
      <c r="A73" s="425">
        <v>1513034</v>
      </c>
      <c r="B73" s="234" t="s">
        <v>328</v>
      </c>
      <c r="C73" s="234"/>
      <c r="D73" s="393"/>
      <c r="E73" s="337" t="s">
        <v>331</v>
      </c>
      <c r="F73" s="365">
        <v>261.10000000000002</v>
      </c>
      <c r="G73" s="365">
        <v>251.3</v>
      </c>
      <c r="H73" s="365">
        <v>220.8</v>
      </c>
      <c r="I73" s="365"/>
      <c r="J73" s="365"/>
      <c r="K73" s="365"/>
      <c r="L73" s="365"/>
      <c r="M73" s="365"/>
    </row>
    <row r="74" spans="1:13" s="228" customFormat="1" ht="54" customHeight="1" x14ac:dyDescent="0.3">
      <c r="A74" s="425">
        <v>1513035</v>
      </c>
      <c r="B74" s="234" t="s">
        <v>117</v>
      </c>
      <c r="C74" s="234" t="s">
        <v>118</v>
      </c>
      <c r="D74" s="393" t="s">
        <v>119</v>
      </c>
      <c r="E74" s="337" t="s">
        <v>120</v>
      </c>
      <c r="F74" s="365">
        <v>1533</v>
      </c>
      <c r="G74" s="365">
        <v>1339.8</v>
      </c>
      <c r="H74" s="365">
        <v>1208.9000000000001</v>
      </c>
      <c r="I74" s="365"/>
      <c r="J74" s="365"/>
      <c r="K74" s="365"/>
      <c r="L74" s="365"/>
      <c r="M74" s="365"/>
    </row>
    <row r="75" spans="1:13" s="228" customFormat="1" ht="54" customHeight="1" x14ac:dyDescent="0.3">
      <c r="A75" s="425">
        <v>1513037</v>
      </c>
      <c r="B75" s="234" t="s">
        <v>121</v>
      </c>
      <c r="C75" s="234" t="s">
        <v>118</v>
      </c>
      <c r="D75" s="393" t="s">
        <v>122</v>
      </c>
      <c r="E75" s="337" t="s">
        <v>123</v>
      </c>
      <c r="F75" s="365">
        <v>67</v>
      </c>
      <c r="G75" s="365">
        <v>50.4</v>
      </c>
      <c r="H75" s="365">
        <v>50.3</v>
      </c>
      <c r="I75" s="365"/>
      <c r="J75" s="365"/>
      <c r="K75" s="365"/>
      <c r="L75" s="365"/>
      <c r="M75" s="365"/>
    </row>
    <row r="76" spans="1:13" s="65" customFormat="1" ht="135" customHeight="1" x14ac:dyDescent="0.3">
      <c r="A76" s="425">
        <v>1513180</v>
      </c>
      <c r="B76" s="234" t="s">
        <v>127</v>
      </c>
      <c r="C76" s="234"/>
      <c r="D76" s="158" t="s">
        <v>125</v>
      </c>
      <c r="E76" s="337"/>
      <c r="F76" s="365">
        <f>F77</f>
        <v>200</v>
      </c>
      <c r="G76" s="365">
        <f>G77</f>
        <v>149</v>
      </c>
      <c r="H76" s="365">
        <f>H77</f>
        <v>104.2</v>
      </c>
      <c r="I76" s="365"/>
      <c r="J76" s="365">
        <f>J77</f>
        <v>0</v>
      </c>
      <c r="K76" s="365"/>
      <c r="L76" s="365"/>
      <c r="M76" s="365"/>
    </row>
    <row r="77" spans="1:13" s="10" customFormat="1" ht="116.25" customHeight="1" x14ac:dyDescent="0.3">
      <c r="A77" s="234" t="s">
        <v>126</v>
      </c>
      <c r="B77" s="234" t="s">
        <v>127</v>
      </c>
      <c r="C77" s="234" t="s">
        <v>128</v>
      </c>
      <c r="D77" s="389" t="s">
        <v>129</v>
      </c>
      <c r="E77" s="338" t="s">
        <v>130</v>
      </c>
      <c r="F77" s="365">
        <v>200</v>
      </c>
      <c r="G77" s="365">
        <v>149</v>
      </c>
      <c r="H77" s="365">
        <v>104.2</v>
      </c>
      <c r="I77" s="365"/>
      <c r="J77" s="365"/>
      <c r="K77" s="365"/>
      <c r="L77" s="365"/>
      <c r="M77" s="365"/>
    </row>
    <row r="78" spans="1:13" s="64" customFormat="1" ht="129" customHeight="1" x14ac:dyDescent="0.3">
      <c r="A78" s="234" t="s">
        <v>131</v>
      </c>
      <c r="B78" s="234" t="s">
        <v>102</v>
      </c>
      <c r="C78" s="234" t="s">
        <v>103</v>
      </c>
      <c r="D78" s="235" t="s">
        <v>104</v>
      </c>
      <c r="E78" s="338" t="s">
        <v>132</v>
      </c>
      <c r="F78" s="365">
        <v>116</v>
      </c>
      <c r="G78" s="365">
        <v>79.7</v>
      </c>
      <c r="H78" s="365">
        <v>28.4</v>
      </c>
      <c r="I78" s="365"/>
      <c r="J78" s="365"/>
      <c r="K78" s="365"/>
      <c r="L78" s="365"/>
      <c r="M78" s="365"/>
    </row>
    <row r="79" spans="1:13" s="64" customFormat="1" ht="38.25" customHeight="1" x14ac:dyDescent="0.3">
      <c r="A79" s="234" t="s">
        <v>133</v>
      </c>
      <c r="B79" s="234" t="s">
        <v>105</v>
      </c>
      <c r="C79" s="234"/>
      <c r="D79" s="235" t="s">
        <v>106</v>
      </c>
      <c r="E79" s="338"/>
      <c r="F79" s="365">
        <f>F80+F81</f>
        <v>1130.0999999999999</v>
      </c>
      <c r="G79" s="365">
        <f>G80+G81</f>
        <v>424.4</v>
      </c>
      <c r="H79" s="365">
        <f>H80+H81</f>
        <v>386.9</v>
      </c>
      <c r="I79" s="365"/>
      <c r="J79" s="365">
        <f>J80+J81</f>
        <v>0</v>
      </c>
      <c r="K79" s="365"/>
      <c r="L79" s="365"/>
      <c r="M79" s="365"/>
    </row>
    <row r="80" spans="1:13" s="64" customFormat="1" ht="102" customHeight="1" x14ac:dyDescent="0.3">
      <c r="A80" s="234" t="s">
        <v>134</v>
      </c>
      <c r="B80" s="234" t="s">
        <v>107</v>
      </c>
      <c r="C80" s="234" t="s">
        <v>108</v>
      </c>
      <c r="D80" s="235" t="s">
        <v>109</v>
      </c>
      <c r="E80" s="345" t="s">
        <v>135</v>
      </c>
      <c r="F80" s="365">
        <v>974</v>
      </c>
      <c r="G80" s="365">
        <v>301.2</v>
      </c>
      <c r="H80" s="365">
        <v>278.5</v>
      </c>
      <c r="I80" s="365"/>
      <c r="J80" s="365"/>
      <c r="K80" s="365"/>
      <c r="L80" s="365"/>
      <c r="M80" s="365"/>
    </row>
    <row r="81" spans="1:13" s="10" customFormat="1" ht="66.75" customHeight="1" x14ac:dyDescent="0.3">
      <c r="A81" s="417" t="s">
        <v>136</v>
      </c>
      <c r="B81" s="234" t="s">
        <v>137</v>
      </c>
      <c r="C81" s="234" t="s">
        <v>108</v>
      </c>
      <c r="D81" s="389" t="s">
        <v>111</v>
      </c>
      <c r="E81" s="337" t="s">
        <v>138</v>
      </c>
      <c r="F81" s="365">
        <v>156.1</v>
      </c>
      <c r="G81" s="365">
        <v>123.2</v>
      </c>
      <c r="H81" s="365">
        <v>108.4</v>
      </c>
      <c r="I81" s="365"/>
      <c r="J81" s="365"/>
      <c r="K81" s="365"/>
      <c r="L81" s="365"/>
      <c r="M81" s="365"/>
    </row>
    <row r="82" spans="1:13" s="10" customFormat="1" ht="40.5" customHeight="1" x14ac:dyDescent="0.3">
      <c r="A82" s="417" t="s">
        <v>139</v>
      </c>
      <c r="B82" s="234" t="s">
        <v>140</v>
      </c>
      <c r="C82" s="234" t="s">
        <v>141</v>
      </c>
      <c r="D82" s="235" t="s">
        <v>142</v>
      </c>
      <c r="E82" s="337"/>
      <c r="F82" s="365">
        <f>F83</f>
        <v>1801.1</v>
      </c>
      <c r="G82" s="365">
        <f>G83</f>
        <v>1185.5</v>
      </c>
      <c r="H82" s="365">
        <f>H83</f>
        <v>891.1</v>
      </c>
      <c r="I82" s="365"/>
      <c r="J82" s="365">
        <f>J83</f>
        <v>0</v>
      </c>
      <c r="K82" s="365"/>
      <c r="L82" s="365"/>
      <c r="M82" s="365"/>
    </row>
    <row r="83" spans="1:13" s="65" customFormat="1" ht="161.25" customHeight="1" x14ac:dyDescent="0.3">
      <c r="A83" s="234" t="s">
        <v>143</v>
      </c>
      <c r="B83" s="234" t="s">
        <v>144</v>
      </c>
      <c r="C83" s="234" t="s">
        <v>141</v>
      </c>
      <c r="D83" s="235" t="s">
        <v>142</v>
      </c>
      <c r="E83" s="337" t="s">
        <v>145</v>
      </c>
      <c r="F83" s="365">
        <v>1801.1</v>
      </c>
      <c r="G83" s="365">
        <v>1185.5</v>
      </c>
      <c r="H83" s="365">
        <v>891.1</v>
      </c>
      <c r="I83" s="365"/>
      <c r="J83" s="365"/>
      <c r="K83" s="365"/>
      <c r="L83" s="365"/>
      <c r="M83" s="365"/>
    </row>
    <row r="84" spans="1:13" s="65" customFormat="1" ht="74.25" customHeight="1" x14ac:dyDescent="0.3">
      <c r="A84" s="234" t="s">
        <v>406</v>
      </c>
      <c r="B84" s="234" t="s">
        <v>52</v>
      </c>
      <c r="C84" s="234" t="s">
        <v>53</v>
      </c>
      <c r="D84" s="235" t="s">
        <v>54</v>
      </c>
      <c r="E84" s="337" t="s">
        <v>511</v>
      </c>
      <c r="F84" s="365">
        <v>8.5</v>
      </c>
      <c r="G84" s="365">
        <v>8.5</v>
      </c>
      <c r="H84" s="365">
        <v>8.4</v>
      </c>
      <c r="I84" s="365"/>
      <c r="J84" s="365"/>
      <c r="K84" s="365"/>
      <c r="L84" s="365"/>
      <c r="M84" s="365"/>
    </row>
    <row r="85" spans="1:13" s="65" customFormat="1" ht="59.25" customHeight="1" x14ac:dyDescent="0.3">
      <c r="A85" s="234"/>
      <c r="B85" s="233"/>
      <c r="C85" s="233"/>
      <c r="D85" s="235"/>
      <c r="E85" s="336" t="s">
        <v>512</v>
      </c>
      <c r="F85" s="366">
        <f>F86+F88</f>
        <v>411.3</v>
      </c>
      <c r="G85" s="366">
        <f>G86+G88</f>
        <v>411.3</v>
      </c>
      <c r="H85" s="366">
        <f>H86+H88</f>
        <v>411.3</v>
      </c>
      <c r="I85" s="366"/>
      <c r="J85" s="366">
        <f>J89</f>
        <v>87</v>
      </c>
      <c r="K85" s="366">
        <f>K89</f>
        <v>87</v>
      </c>
      <c r="L85" s="366">
        <f>L89</f>
        <v>86.7</v>
      </c>
      <c r="M85" s="366"/>
    </row>
    <row r="86" spans="1:13" s="65" customFormat="1" ht="87.75" customHeight="1" x14ac:dyDescent="0.3">
      <c r="A86" s="314" t="s">
        <v>492</v>
      </c>
      <c r="B86" s="314" t="s">
        <v>493</v>
      </c>
      <c r="C86" s="314"/>
      <c r="D86" s="315" t="s">
        <v>494</v>
      </c>
      <c r="E86" s="336"/>
      <c r="F86" s="365">
        <f>F87</f>
        <v>12</v>
      </c>
      <c r="G86" s="365">
        <f>G87</f>
        <v>12</v>
      </c>
      <c r="H86" s="365">
        <f>H87</f>
        <v>12</v>
      </c>
      <c r="I86" s="366"/>
      <c r="J86" s="366"/>
      <c r="K86" s="366"/>
      <c r="L86" s="366"/>
      <c r="M86" s="366"/>
    </row>
    <row r="87" spans="1:13" s="316" customFormat="1" ht="134.25" customHeight="1" x14ac:dyDescent="0.3">
      <c r="A87" s="314" t="s">
        <v>489</v>
      </c>
      <c r="B87" s="314" t="s">
        <v>490</v>
      </c>
      <c r="C87" s="314" t="s">
        <v>210</v>
      </c>
      <c r="D87" s="315" t="s">
        <v>491</v>
      </c>
      <c r="E87" s="346" t="s">
        <v>513</v>
      </c>
      <c r="F87" s="373">
        <v>12</v>
      </c>
      <c r="G87" s="373">
        <v>12</v>
      </c>
      <c r="H87" s="373">
        <v>12</v>
      </c>
      <c r="I87" s="374"/>
      <c r="J87" s="374"/>
      <c r="K87" s="374"/>
      <c r="L87" s="374"/>
      <c r="M87" s="374"/>
    </row>
    <row r="88" spans="1:13" s="65" customFormat="1" ht="40.5" customHeight="1" x14ac:dyDescent="0.3">
      <c r="A88" s="433" t="s">
        <v>139</v>
      </c>
      <c r="B88" s="418" t="s">
        <v>140</v>
      </c>
      <c r="C88" s="418" t="s">
        <v>141</v>
      </c>
      <c r="D88" s="395" t="s">
        <v>142</v>
      </c>
      <c r="E88" s="336"/>
      <c r="F88" s="365">
        <f>F89</f>
        <v>399.3</v>
      </c>
      <c r="G88" s="365">
        <f>G89</f>
        <v>399.3</v>
      </c>
      <c r="H88" s="365">
        <f>H89</f>
        <v>399.3</v>
      </c>
      <c r="I88" s="365"/>
      <c r="J88" s="365">
        <f>J89</f>
        <v>87</v>
      </c>
      <c r="K88" s="365">
        <f>K89</f>
        <v>87</v>
      </c>
      <c r="L88" s="365">
        <f>L89</f>
        <v>86.7</v>
      </c>
      <c r="M88" s="366"/>
    </row>
    <row r="89" spans="1:13" s="65" customFormat="1" ht="63.75" customHeight="1" x14ac:dyDescent="0.3">
      <c r="A89" s="234" t="s">
        <v>349</v>
      </c>
      <c r="B89" s="233" t="s">
        <v>348</v>
      </c>
      <c r="C89" s="233" t="s">
        <v>141</v>
      </c>
      <c r="D89" s="235" t="s">
        <v>142</v>
      </c>
      <c r="E89" s="337" t="s">
        <v>488</v>
      </c>
      <c r="F89" s="365">
        <v>399.3</v>
      </c>
      <c r="G89" s="365">
        <v>399.3</v>
      </c>
      <c r="H89" s="365">
        <v>399.3</v>
      </c>
      <c r="I89" s="365"/>
      <c r="J89" s="365">
        <v>87</v>
      </c>
      <c r="K89" s="365">
        <v>87</v>
      </c>
      <c r="L89" s="365">
        <v>86.7</v>
      </c>
      <c r="M89" s="365"/>
    </row>
    <row r="90" spans="1:13" s="10" customFormat="1" ht="27.75" customHeight="1" x14ac:dyDescent="0.35">
      <c r="A90" s="434"/>
      <c r="B90" s="424"/>
      <c r="C90" s="424"/>
      <c r="D90" s="385" t="s">
        <v>50</v>
      </c>
      <c r="E90" s="347"/>
      <c r="F90" s="367">
        <f>F47+F57+F62+F63+F69+F85+F84</f>
        <v>7151.0499999999993</v>
      </c>
      <c r="G90" s="367">
        <f>G47+G57+G62+G63+G69+G85+G84</f>
        <v>5272.6</v>
      </c>
      <c r="H90" s="367">
        <f>H47+H57+H62+H63+H69+H85+H84</f>
        <v>4155.0999999999995</v>
      </c>
      <c r="I90" s="367">
        <f>I47+I57+I62+I63+I69+I85</f>
        <v>215.33312197125102</v>
      </c>
      <c r="J90" s="367">
        <f>J47+J63+J85</f>
        <v>698.6</v>
      </c>
      <c r="K90" s="367">
        <f>K47+K63+K85</f>
        <v>152.6</v>
      </c>
      <c r="L90" s="367">
        <f>L47+L63+L85</f>
        <v>102.3</v>
      </c>
      <c r="M90" s="367">
        <f>L90/J90*100</f>
        <v>14.643572860005724</v>
      </c>
    </row>
    <row r="91" spans="1:13" s="10" customFormat="1" ht="56.25" customHeight="1" x14ac:dyDescent="0.35">
      <c r="A91" s="435">
        <v>2000000</v>
      </c>
      <c r="B91" s="422"/>
      <c r="C91" s="422"/>
      <c r="D91" s="396" t="s">
        <v>146</v>
      </c>
      <c r="E91" s="321"/>
      <c r="F91" s="370"/>
      <c r="G91" s="370"/>
      <c r="H91" s="370"/>
      <c r="I91" s="370"/>
      <c r="J91" s="370"/>
      <c r="K91" s="370"/>
      <c r="L91" s="370"/>
      <c r="M91" s="370"/>
    </row>
    <row r="92" spans="1:13" s="71" customFormat="1" ht="43.5" customHeight="1" x14ac:dyDescent="0.35">
      <c r="A92" s="434">
        <v>2010000</v>
      </c>
      <c r="B92" s="424"/>
      <c r="C92" s="424"/>
      <c r="D92" s="398" t="s">
        <v>146</v>
      </c>
      <c r="E92" s="322"/>
      <c r="F92" s="366"/>
      <c r="G92" s="366"/>
      <c r="H92" s="366"/>
      <c r="I92" s="366"/>
      <c r="J92" s="366"/>
      <c r="K92" s="366"/>
      <c r="L92" s="366"/>
      <c r="M92" s="366"/>
    </row>
    <row r="93" spans="1:13" s="71" customFormat="1" ht="43.5" customHeight="1" x14ac:dyDescent="0.35">
      <c r="A93" s="159" t="s">
        <v>147</v>
      </c>
      <c r="B93" s="159" t="s">
        <v>148</v>
      </c>
      <c r="C93" s="424"/>
      <c r="D93" s="158" t="s">
        <v>149</v>
      </c>
      <c r="E93" s="322"/>
      <c r="F93" s="366">
        <f>F94</f>
        <v>5</v>
      </c>
      <c r="G93" s="366">
        <f>G94</f>
        <v>5</v>
      </c>
      <c r="H93" s="366">
        <f>H94</f>
        <v>0</v>
      </c>
      <c r="I93" s="366"/>
      <c r="J93" s="366">
        <f>J94</f>
        <v>0</v>
      </c>
      <c r="K93" s="366"/>
      <c r="L93" s="366"/>
      <c r="M93" s="366"/>
    </row>
    <row r="94" spans="1:13" s="10" customFormat="1" ht="81" customHeight="1" x14ac:dyDescent="0.3">
      <c r="A94" s="425">
        <v>2013112</v>
      </c>
      <c r="B94" s="234" t="s">
        <v>150</v>
      </c>
      <c r="C94" s="234" t="s">
        <v>53</v>
      </c>
      <c r="D94" s="393" t="s">
        <v>151</v>
      </c>
      <c r="E94" s="344" t="s">
        <v>533</v>
      </c>
      <c r="F94" s="366">
        <v>5</v>
      </c>
      <c r="G94" s="366">
        <v>5</v>
      </c>
      <c r="H94" s="366">
        <v>0</v>
      </c>
      <c r="I94" s="366"/>
      <c r="J94" s="366"/>
      <c r="K94" s="366"/>
      <c r="L94" s="366"/>
      <c r="M94" s="366"/>
    </row>
    <row r="95" spans="1:13" s="73" customFormat="1" ht="35.25" customHeight="1" x14ac:dyDescent="0.3">
      <c r="A95" s="426"/>
      <c r="B95" s="427"/>
      <c r="C95" s="427"/>
      <c r="D95" s="385" t="s">
        <v>50</v>
      </c>
      <c r="E95" s="332"/>
      <c r="F95" s="367">
        <f>F93</f>
        <v>5</v>
      </c>
      <c r="G95" s="367">
        <f>G93</f>
        <v>5</v>
      </c>
      <c r="H95" s="367">
        <f>H93</f>
        <v>0</v>
      </c>
      <c r="I95" s="367">
        <f>H95/F95*100</f>
        <v>0</v>
      </c>
      <c r="J95" s="367">
        <f>J93</f>
        <v>0</v>
      </c>
      <c r="K95" s="367"/>
      <c r="L95" s="367"/>
      <c r="M95" s="367"/>
    </row>
    <row r="96" spans="1:13" s="65" customFormat="1" ht="75.75" customHeight="1" x14ac:dyDescent="0.3">
      <c r="A96" s="429">
        <v>2400000</v>
      </c>
      <c r="B96" s="431"/>
      <c r="C96" s="431"/>
      <c r="D96" s="392" t="s">
        <v>152</v>
      </c>
      <c r="E96" s="340"/>
      <c r="F96" s="370"/>
      <c r="G96" s="370"/>
      <c r="H96" s="370"/>
      <c r="I96" s="370"/>
      <c r="J96" s="370"/>
      <c r="K96" s="370"/>
      <c r="L96" s="370"/>
      <c r="M96" s="370"/>
    </row>
    <row r="97" spans="1:13" s="228" customFormat="1" ht="60.75" customHeight="1" x14ac:dyDescent="0.3">
      <c r="A97" s="426">
        <v>2410000</v>
      </c>
      <c r="B97" s="427"/>
      <c r="C97" s="427"/>
      <c r="D97" s="386" t="s">
        <v>152</v>
      </c>
      <c r="E97" s="336"/>
      <c r="F97" s="366"/>
      <c r="G97" s="366"/>
      <c r="H97" s="366"/>
      <c r="I97" s="366"/>
      <c r="J97" s="366"/>
      <c r="K97" s="366"/>
      <c r="L97" s="366"/>
      <c r="M97" s="366"/>
    </row>
    <row r="98" spans="1:13" s="224" customFormat="1" ht="60" customHeight="1" x14ac:dyDescent="0.3">
      <c r="A98" s="425">
        <v>2413140</v>
      </c>
      <c r="B98" s="234" t="s">
        <v>153</v>
      </c>
      <c r="C98" s="234" t="s">
        <v>53</v>
      </c>
      <c r="D98" s="158" t="s">
        <v>251</v>
      </c>
      <c r="E98" s="337" t="s">
        <v>514</v>
      </c>
      <c r="F98" s="366">
        <f>F99</f>
        <v>85</v>
      </c>
      <c r="G98" s="366">
        <f>G99</f>
        <v>45</v>
      </c>
      <c r="H98" s="366">
        <f>H99</f>
        <v>42.3</v>
      </c>
      <c r="I98" s="366">
        <f>H98/F98*100</f>
        <v>49.764705882352942</v>
      </c>
      <c r="J98" s="366">
        <f>SUM(J100:J102)</f>
        <v>0</v>
      </c>
      <c r="K98" s="366"/>
      <c r="L98" s="366"/>
      <c r="M98" s="366"/>
    </row>
    <row r="99" spans="1:13" s="74" customFormat="1" ht="85.5" customHeight="1" x14ac:dyDescent="0.3">
      <c r="A99" s="159" t="s">
        <v>249</v>
      </c>
      <c r="B99" s="159" t="s">
        <v>250</v>
      </c>
      <c r="C99" s="159" t="s">
        <v>53</v>
      </c>
      <c r="D99" s="158" t="s">
        <v>252</v>
      </c>
      <c r="E99" s="337"/>
      <c r="F99" s="366">
        <f>SUM(F100:F102)</f>
        <v>85</v>
      </c>
      <c r="G99" s="366">
        <f>SUM(G100:G102)</f>
        <v>45</v>
      </c>
      <c r="H99" s="366">
        <f>SUM(H100:H102)</f>
        <v>42.3</v>
      </c>
      <c r="I99" s="366">
        <f>H99/F99*100</f>
        <v>49.764705882352942</v>
      </c>
      <c r="J99" s="366">
        <f t="shared" ref="J99" si="6">SUM(J100:J102)</f>
        <v>0</v>
      </c>
      <c r="K99" s="366"/>
      <c r="L99" s="366"/>
      <c r="M99" s="366"/>
    </row>
    <row r="100" spans="1:13" s="10" customFormat="1" ht="69" customHeight="1" x14ac:dyDescent="0.3">
      <c r="A100" s="417"/>
      <c r="B100" s="417"/>
      <c r="C100" s="417"/>
      <c r="D100" s="399" t="s">
        <v>178</v>
      </c>
      <c r="E100" s="337" t="s">
        <v>155</v>
      </c>
      <c r="F100" s="365">
        <v>50</v>
      </c>
      <c r="G100" s="365">
        <v>20</v>
      </c>
      <c r="H100" s="365">
        <v>18.5</v>
      </c>
      <c r="I100" s="365"/>
      <c r="J100" s="366"/>
      <c r="K100" s="366"/>
      <c r="L100" s="366"/>
      <c r="M100" s="366"/>
    </row>
    <row r="101" spans="1:13" s="65" customFormat="1" ht="41.25" customHeight="1" x14ac:dyDescent="0.3">
      <c r="A101" s="234"/>
      <c r="B101" s="234"/>
      <c r="C101" s="234"/>
      <c r="D101" s="393"/>
      <c r="E101" s="337" t="s">
        <v>156</v>
      </c>
      <c r="F101" s="365">
        <v>25</v>
      </c>
      <c r="G101" s="365">
        <v>25</v>
      </c>
      <c r="H101" s="365">
        <v>23.8</v>
      </c>
      <c r="I101" s="365"/>
      <c r="J101" s="366"/>
      <c r="K101" s="366"/>
      <c r="L101" s="366"/>
      <c r="M101" s="366"/>
    </row>
    <row r="102" spans="1:13" s="65" customFormat="1" ht="24.75" customHeight="1" x14ac:dyDescent="0.3">
      <c r="A102" s="234"/>
      <c r="B102" s="234"/>
      <c r="C102" s="234"/>
      <c r="D102" s="393"/>
      <c r="E102" s="337" t="s">
        <v>157</v>
      </c>
      <c r="F102" s="365">
        <v>10</v>
      </c>
      <c r="G102" s="365">
        <v>0</v>
      </c>
      <c r="H102" s="365">
        <v>0</v>
      </c>
      <c r="I102" s="365"/>
      <c r="J102" s="365"/>
      <c r="K102" s="365"/>
      <c r="L102" s="365"/>
      <c r="M102" s="365"/>
    </row>
    <row r="103" spans="1:13" s="228" customFormat="1" ht="75.75" customHeight="1" x14ac:dyDescent="0.3">
      <c r="A103" s="234"/>
      <c r="B103" s="234"/>
      <c r="C103" s="234"/>
      <c r="D103" s="391"/>
      <c r="E103" s="337" t="s">
        <v>515</v>
      </c>
      <c r="F103" s="467">
        <f>F104+F105+F108</f>
        <v>1117</v>
      </c>
      <c r="G103" s="467">
        <f>G104+G105+G108</f>
        <v>914.9</v>
      </c>
      <c r="H103" s="467">
        <f>H104+H105+H108</f>
        <v>743.25</v>
      </c>
      <c r="I103" s="467">
        <f>H103/F103*100</f>
        <v>66.539838854073409</v>
      </c>
      <c r="J103" s="467">
        <f>J104+J105+J108</f>
        <v>264</v>
      </c>
      <c r="K103" s="467">
        <f>K104+K105+K108</f>
        <v>264</v>
      </c>
      <c r="L103" s="467">
        <f>L104+L105+L108</f>
        <v>251.9</v>
      </c>
      <c r="M103" s="467">
        <f>L103/J103*100</f>
        <v>95.416666666666671</v>
      </c>
    </row>
    <row r="104" spans="1:13" s="228" customFormat="1" ht="117.75" customHeight="1" x14ac:dyDescent="0.3">
      <c r="A104" s="427" t="s">
        <v>159</v>
      </c>
      <c r="B104" s="234" t="s">
        <v>160</v>
      </c>
      <c r="C104" s="234" t="s">
        <v>161</v>
      </c>
      <c r="D104" s="393" t="s">
        <v>162</v>
      </c>
      <c r="E104" s="337" t="s">
        <v>459</v>
      </c>
      <c r="F104" s="365">
        <v>617</v>
      </c>
      <c r="G104" s="365">
        <v>491.7</v>
      </c>
      <c r="H104" s="365">
        <v>469</v>
      </c>
      <c r="I104" s="365">
        <f>H104/F104*100</f>
        <v>76.012965964343593</v>
      </c>
      <c r="J104" s="366">
        <v>264</v>
      </c>
      <c r="K104" s="366">
        <v>264</v>
      </c>
      <c r="L104" s="366">
        <v>251.9</v>
      </c>
      <c r="M104" s="366"/>
    </row>
    <row r="105" spans="1:13" s="228" customFormat="1" ht="33.75" customHeight="1" x14ac:dyDescent="0.3">
      <c r="A105" s="159" t="s">
        <v>164</v>
      </c>
      <c r="B105" s="159" t="s">
        <v>165</v>
      </c>
      <c r="C105" s="234"/>
      <c r="D105" s="158" t="s">
        <v>166</v>
      </c>
      <c r="E105" s="337"/>
      <c r="F105" s="365">
        <f>F106+F107</f>
        <v>300.2</v>
      </c>
      <c r="G105" s="365">
        <f>G106+G107</f>
        <v>229.8</v>
      </c>
      <c r="H105" s="365">
        <f>H106+H107</f>
        <v>155.35</v>
      </c>
      <c r="I105" s="365"/>
      <c r="J105" s="365">
        <f>J106+J107</f>
        <v>0</v>
      </c>
      <c r="K105" s="365"/>
      <c r="L105" s="365"/>
      <c r="M105" s="365"/>
    </row>
    <row r="106" spans="1:13" s="71" customFormat="1" ht="54.75" customHeight="1" x14ac:dyDescent="0.3">
      <c r="A106" s="425">
        <v>2415011</v>
      </c>
      <c r="B106" s="425">
        <v>5011</v>
      </c>
      <c r="C106" s="234" t="s">
        <v>167</v>
      </c>
      <c r="D106" s="158" t="s">
        <v>168</v>
      </c>
      <c r="E106" s="337" t="s">
        <v>169</v>
      </c>
      <c r="F106" s="365">
        <v>173.2</v>
      </c>
      <c r="G106" s="365">
        <v>127.3</v>
      </c>
      <c r="H106" s="365">
        <v>84.1</v>
      </c>
      <c r="I106" s="365"/>
      <c r="J106" s="375"/>
      <c r="K106" s="375"/>
      <c r="L106" s="375"/>
      <c r="M106" s="375"/>
    </row>
    <row r="107" spans="1:13" s="228" customFormat="1" ht="56.25" customHeight="1" x14ac:dyDescent="0.3">
      <c r="A107" s="425">
        <v>2415012</v>
      </c>
      <c r="B107" s="234" t="s">
        <v>170</v>
      </c>
      <c r="C107" s="234" t="s">
        <v>167</v>
      </c>
      <c r="D107" s="389" t="s">
        <v>171</v>
      </c>
      <c r="E107" s="337" t="s">
        <v>172</v>
      </c>
      <c r="F107" s="365">
        <v>127</v>
      </c>
      <c r="G107" s="365">
        <v>102.5</v>
      </c>
      <c r="H107" s="365">
        <v>71.25</v>
      </c>
      <c r="I107" s="365"/>
      <c r="J107" s="366"/>
      <c r="K107" s="366"/>
      <c r="L107" s="366"/>
      <c r="M107" s="366"/>
    </row>
    <row r="108" spans="1:13" s="224" customFormat="1" ht="44.25" customHeight="1" x14ac:dyDescent="0.3">
      <c r="A108" s="425">
        <v>2412060</v>
      </c>
      <c r="B108" s="234" t="s">
        <v>173</v>
      </c>
      <c r="C108" s="234" t="s">
        <v>167</v>
      </c>
      <c r="D108" s="158" t="s">
        <v>253</v>
      </c>
      <c r="E108" s="337"/>
      <c r="F108" s="365">
        <f>F109</f>
        <v>199.8</v>
      </c>
      <c r="G108" s="365">
        <f>G109</f>
        <v>193.4</v>
      </c>
      <c r="H108" s="365">
        <f>H109</f>
        <v>118.9</v>
      </c>
      <c r="I108" s="365"/>
      <c r="J108" s="365"/>
      <c r="K108" s="365"/>
      <c r="L108" s="365"/>
      <c r="M108" s="365"/>
    </row>
    <row r="109" spans="1:13" s="224" customFormat="1" ht="147.75" customHeight="1" x14ac:dyDescent="0.3">
      <c r="A109" s="159" t="s">
        <v>255</v>
      </c>
      <c r="B109" s="159" t="s">
        <v>256</v>
      </c>
      <c r="C109" s="159" t="s">
        <v>167</v>
      </c>
      <c r="D109" s="158" t="s">
        <v>532</v>
      </c>
      <c r="E109" s="337" t="s">
        <v>174</v>
      </c>
      <c r="F109" s="365">
        <v>199.8</v>
      </c>
      <c r="G109" s="365">
        <v>193.4</v>
      </c>
      <c r="H109" s="365">
        <v>118.9</v>
      </c>
      <c r="I109" s="365"/>
      <c r="J109" s="365"/>
      <c r="K109" s="365"/>
      <c r="L109" s="365"/>
      <c r="M109" s="365"/>
    </row>
    <row r="110" spans="1:13" s="74" customFormat="1" ht="65.25" customHeight="1" x14ac:dyDescent="0.3">
      <c r="A110" s="159"/>
      <c r="B110" s="159"/>
      <c r="C110" s="159"/>
      <c r="D110" s="158"/>
      <c r="E110" s="323" t="s">
        <v>413</v>
      </c>
      <c r="F110" s="366">
        <f>F112+F111+F114+F115+F113</f>
        <v>258.10000000000002</v>
      </c>
      <c r="G110" s="366">
        <f>G112+G111+G114+G115+G113</f>
        <v>258</v>
      </c>
      <c r="H110" s="366">
        <f>H112+H111+H114+H115+H113</f>
        <v>155.642</v>
      </c>
      <c r="I110" s="366">
        <f>H110/F110*100</f>
        <v>60.302983339790771</v>
      </c>
      <c r="J110" s="366">
        <f>J112</f>
        <v>94</v>
      </c>
      <c r="K110" s="366">
        <f>K112</f>
        <v>94</v>
      </c>
      <c r="L110" s="366">
        <f>L112</f>
        <v>22</v>
      </c>
      <c r="M110" s="366">
        <f>L110/J110*100</f>
        <v>23.404255319148938</v>
      </c>
    </row>
    <row r="111" spans="1:13" s="228" customFormat="1" ht="69" customHeight="1" x14ac:dyDescent="0.3">
      <c r="A111" s="234" t="s">
        <v>398</v>
      </c>
      <c r="B111" s="234"/>
      <c r="C111" s="234" t="s">
        <v>161</v>
      </c>
      <c r="D111" s="393" t="s">
        <v>399</v>
      </c>
      <c r="E111" s="337" t="s">
        <v>400</v>
      </c>
      <c r="F111" s="365">
        <v>96.8</v>
      </c>
      <c r="G111" s="365">
        <v>96.7</v>
      </c>
      <c r="H111" s="365">
        <v>96.7</v>
      </c>
      <c r="I111" s="365"/>
      <c r="J111" s="366"/>
      <c r="K111" s="366"/>
      <c r="L111" s="366"/>
      <c r="M111" s="366"/>
    </row>
    <row r="112" spans="1:13" s="74" customFormat="1" ht="65.25" customHeight="1" x14ac:dyDescent="0.3">
      <c r="A112" s="418" t="s">
        <v>414</v>
      </c>
      <c r="B112" s="418" t="s">
        <v>415</v>
      </c>
      <c r="C112" s="418" t="s">
        <v>416</v>
      </c>
      <c r="D112" s="315" t="s">
        <v>417</v>
      </c>
      <c r="E112" s="346" t="s">
        <v>478</v>
      </c>
      <c r="F112" s="373">
        <v>115.2</v>
      </c>
      <c r="G112" s="373">
        <v>115.2</v>
      </c>
      <c r="H112" s="373">
        <v>44.841999999999999</v>
      </c>
      <c r="I112" s="365"/>
      <c r="J112" s="365">
        <v>94</v>
      </c>
      <c r="K112" s="365">
        <v>94</v>
      </c>
      <c r="L112" s="365">
        <v>22</v>
      </c>
      <c r="M112" s="365"/>
    </row>
    <row r="113" spans="1:13" s="74" customFormat="1" ht="56.25" customHeight="1" x14ac:dyDescent="0.3">
      <c r="A113" s="418" t="s">
        <v>479</v>
      </c>
      <c r="B113" s="418" t="s">
        <v>480</v>
      </c>
      <c r="C113" s="418" t="s">
        <v>167</v>
      </c>
      <c r="D113" s="315" t="s">
        <v>481</v>
      </c>
      <c r="E113" s="346" t="s">
        <v>482</v>
      </c>
      <c r="F113" s="373">
        <v>10</v>
      </c>
      <c r="G113" s="373">
        <v>10</v>
      </c>
      <c r="H113" s="373">
        <v>10</v>
      </c>
      <c r="I113" s="365"/>
      <c r="J113" s="365"/>
      <c r="K113" s="365"/>
      <c r="L113" s="365"/>
      <c r="M113" s="365"/>
    </row>
    <row r="114" spans="1:13" s="74" customFormat="1" ht="57" customHeight="1" x14ac:dyDescent="0.3">
      <c r="A114" s="436">
        <v>2415012</v>
      </c>
      <c r="B114" s="418" t="s">
        <v>170</v>
      </c>
      <c r="C114" s="418" t="s">
        <v>167</v>
      </c>
      <c r="D114" s="400" t="s">
        <v>171</v>
      </c>
      <c r="E114" s="346" t="s">
        <v>453</v>
      </c>
      <c r="F114" s="373">
        <v>32</v>
      </c>
      <c r="G114" s="373">
        <v>32</v>
      </c>
      <c r="H114" s="373">
        <v>0</v>
      </c>
      <c r="I114" s="365"/>
      <c r="J114" s="365"/>
      <c r="K114" s="365"/>
      <c r="L114" s="365"/>
      <c r="M114" s="365"/>
    </row>
    <row r="115" spans="1:13" s="74" customFormat="1" ht="57.75" customHeight="1" x14ac:dyDescent="0.3">
      <c r="A115" s="418" t="s">
        <v>455</v>
      </c>
      <c r="B115" s="418" t="s">
        <v>456</v>
      </c>
      <c r="C115" s="418" t="s">
        <v>167</v>
      </c>
      <c r="D115" s="401" t="s">
        <v>454</v>
      </c>
      <c r="E115" s="346" t="s">
        <v>457</v>
      </c>
      <c r="F115" s="373">
        <v>4.0999999999999996</v>
      </c>
      <c r="G115" s="376">
        <v>4.0999999999999996</v>
      </c>
      <c r="H115" s="373">
        <v>4.0999999999999996</v>
      </c>
      <c r="I115" s="365"/>
      <c r="J115" s="365"/>
      <c r="K115" s="365"/>
      <c r="L115" s="365"/>
      <c r="M115" s="365"/>
    </row>
    <row r="116" spans="1:13" s="10" customFormat="1" ht="23.25" customHeight="1" x14ac:dyDescent="0.3">
      <c r="A116" s="417"/>
      <c r="B116" s="437"/>
      <c r="C116" s="437"/>
      <c r="D116" s="385" t="s">
        <v>50</v>
      </c>
      <c r="E116" s="343"/>
      <c r="F116" s="477">
        <f>F98+F103+F110</f>
        <v>1460.1</v>
      </c>
      <c r="G116" s="477">
        <f>G98+G103+G110</f>
        <v>1217.9000000000001</v>
      </c>
      <c r="H116" s="477">
        <f>H98+H103+H110</f>
        <v>941.19200000000001</v>
      </c>
      <c r="I116" s="477">
        <f>H116/F116*100</f>
        <v>64.460790356824887</v>
      </c>
      <c r="J116" s="477">
        <f>J98+J103+J110</f>
        <v>358</v>
      </c>
      <c r="K116" s="477">
        <f>K98+K103+K110</f>
        <v>358</v>
      </c>
      <c r="L116" s="477">
        <f>L98+L103+L110</f>
        <v>273.89999999999998</v>
      </c>
      <c r="M116" s="477"/>
    </row>
    <row r="117" spans="1:13" s="65" customFormat="1" ht="98.25" customHeight="1" x14ac:dyDescent="0.3">
      <c r="A117" s="429">
        <v>4000000</v>
      </c>
      <c r="B117" s="438"/>
      <c r="C117" s="438"/>
      <c r="D117" s="402" t="s">
        <v>408</v>
      </c>
      <c r="E117" s="340"/>
      <c r="F117" s="370"/>
      <c r="G117" s="370"/>
      <c r="H117" s="370"/>
      <c r="I117" s="370"/>
      <c r="J117" s="370"/>
      <c r="K117" s="370"/>
      <c r="L117" s="370"/>
      <c r="M117" s="370"/>
    </row>
    <row r="118" spans="1:13" s="224" customFormat="1" ht="66.75" customHeight="1" x14ac:dyDescent="0.3">
      <c r="A118" s="425">
        <v>4010000</v>
      </c>
      <c r="B118" s="447"/>
      <c r="C118" s="447"/>
      <c r="D118" s="388" t="s">
        <v>408</v>
      </c>
      <c r="E118" s="337"/>
      <c r="F118" s="365"/>
      <c r="G118" s="365"/>
      <c r="H118" s="365"/>
      <c r="I118" s="365"/>
      <c r="J118" s="365"/>
      <c r="K118" s="365"/>
      <c r="L118" s="365"/>
      <c r="M118" s="365"/>
    </row>
    <row r="119" spans="1:13" s="74" customFormat="1" ht="80.25" customHeight="1" x14ac:dyDescent="0.3">
      <c r="A119" s="425"/>
      <c r="B119" s="425"/>
      <c r="C119" s="425"/>
      <c r="D119" s="389"/>
      <c r="E119" s="337" t="s">
        <v>531</v>
      </c>
      <c r="F119" s="467">
        <f>F120+F130+F132+F135+F143+F148</f>
        <v>21765.95</v>
      </c>
      <c r="G119" s="467">
        <f>G120+G130+G132+G135+G143+G148</f>
        <v>18442.582999999999</v>
      </c>
      <c r="H119" s="467">
        <f>H120+H130+H132+H135+H143+H148</f>
        <v>16161.2</v>
      </c>
      <c r="I119" s="467">
        <f>H119/F119*100</f>
        <v>74.24991787631599</v>
      </c>
      <c r="J119" s="467">
        <f>J120+J130+J132+J135+J143+J148</f>
        <v>8411.268</v>
      </c>
      <c r="K119" s="366">
        <f>K120+K130+K132+K135+K143+K148</f>
        <v>8082.3680000000004</v>
      </c>
      <c r="L119" s="366">
        <f>L120+L130+L132+L135+L143+L148</f>
        <v>5619.2</v>
      </c>
      <c r="M119" s="366">
        <f>L119/J119*100</f>
        <v>66.805623123647933</v>
      </c>
    </row>
    <row r="120" spans="1:13" s="74" customFormat="1" ht="81" customHeight="1" x14ac:dyDescent="0.3">
      <c r="A120" s="425">
        <v>4016010</v>
      </c>
      <c r="B120" s="425">
        <v>6010</v>
      </c>
      <c r="C120" s="425">
        <v>610</v>
      </c>
      <c r="D120" s="389" t="s">
        <v>177</v>
      </c>
      <c r="E120" s="337"/>
      <c r="F120" s="467">
        <f>SUM(F121:F129)</f>
        <v>3626.45</v>
      </c>
      <c r="G120" s="467">
        <f>SUM(G121:G129)</f>
        <v>3371.45</v>
      </c>
      <c r="H120" s="467">
        <f>SUM(H121:H129)</f>
        <v>3232.4</v>
      </c>
      <c r="I120" s="467">
        <f>SUM(I121:I134)</f>
        <v>89.516666666666666</v>
      </c>
      <c r="J120" s="468"/>
      <c r="K120" s="365"/>
      <c r="L120" s="365"/>
      <c r="M120" s="365"/>
    </row>
    <row r="121" spans="1:13" s="74" customFormat="1" ht="102" customHeight="1" x14ac:dyDescent="0.3">
      <c r="A121" s="425"/>
      <c r="B121" s="425"/>
      <c r="C121" s="425"/>
      <c r="D121" s="403" t="s">
        <v>178</v>
      </c>
      <c r="E121" s="337" t="s">
        <v>179</v>
      </c>
      <c r="F121" s="365">
        <v>507</v>
      </c>
      <c r="G121" s="365">
        <v>507</v>
      </c>
      <c r="H121" s="365">
        <v>501.4</v>
      </c>
      <c r="I121" s="365"/>
      <c r="J121" s="365"/>
      <c r="K121" s="365"/>
      <c r="L121" s="365"/>
      <c r="M121" s="365"/>
    </row>
    <row r="122" spans="1:13" s="74" customFormat="1" ht="65.25" customHeight="1" x14ac:dyDescent="0.3">
      <c r="A122" s="425"/>
      <c r="B122" s="425"/>
      <c r="C122" s="425"/>
      <c r="D122" s="403"/>
      <c r="E122" s="337" t="s">
        <v>432</v>
      </c>
      <c r="F122" s="377">
        <v>130</v>
      </c>
      <c r="G122" s="377">
        <v>130</v>
      </c>
      <c r="H122" s="365">
        <v>94.9</v>
      </c>
      <c r="I122" s="365"/>
      <c r="J122" s="365"/>
      <c r="K122" s="365"/>
      <c r="L122" s="365"/>
      <c r="M122" s="365"/>
    </row>
    <row r="123" spans="1:13" s="74" customFormat="1" ht="49.5" customHeight="1" x14ac:dyDescent="0.3">
      <c r="A123" s="425"/>
      <c r="B123" s="425"/>
      <c r="C123" s="425"/>
      <c r="D123" s="389"/>
      <c r="E123" s="337" t="s">
        <v>180</v>
      </c>
      <c r="F123" s="468">
        <v>2000</v>
      </c>
      <c r="G123" s="468">
        <v>2000</v>
      </c>
      <c r="H123" s="468">
        <v>1945.2</v>
      </c>
      <c r="I123" s="365"/>
      <c r="J123" s="365"/>
      <c r="K123" s="365"/>
      <c r="L123" s="365"/>
      <c r="M123" s="365"/>
    </row>
    <row r="124" spans="1:13" s="74" customFormat="1" ht="25.5" customHeight="1" x14ac:dyDescent="0.3">
      <c r="A124" s="425"/>
      <c r="B124" s="425"/>
      <c r="C124" s="425"/>
      <c r="D124" s="389"/>
      <c r="E124" s="337" t="s">
        <v>263</v>
      </c>
      <c r="F124" s="365">
        <f>214-17</f>
        <v>197</v>
      </c>
      <c r="G124" s="365">
        <v>197</v>
      </c>
      <c r="H124" s="365">
        <v>197</v>
      </c>
      <c r="I124" s="365"/>
      <c r="J124" s="365"/>
      <c r="K124" s="365"/>
      <c r="L124" s="365"/>
      <c r="M124" s="365"/>
    </row>
    <row r="125" spans="1:13" s="74" customFormat="1" ht="82.5" customHeight="1" x14ac:dyDescent="0.3">
      <c r="A125" s="425"/>
      <c r="B125" s="425"/>
      <c r="C125" s="425"/>
      <c r="D125" s="389"/>
      <c r="E125" s="337" t="s">
        <v>468</v>
      </c>
      <c r="F125" s="365">
        <f>147.6+340</f>
        <v>487.6</v>
      </c>
      <c r="G125" s="365">
        <v>232.6</v>
      </c>
      <c r="H125" s="365">
        <v>227.1</v>
      </c>
      <c r="I125" s="365"/>
      <c r="J125" s="365"/>
      <c r="K125" s="365"/>
      <c r="L125" s="365"/>
      <c r="M125" s="365"/>
    </row>
    <row r="126" spans="1:13" s="74" customFormat="1" ht="51" customHeight="1" x14ac:dyDescent="0.3">
      <c r="A126" s="425"/>
      <c r="B126" s="425"/>
      <c r="C126" s="425"/>
      <c r="D126" s="389"/>
      <c r="E126" s="337" t="s">
        <v>538</v>
      </c>
      <c r="F126" s="365">
        <v>139.44999999999999</v>
      </c>
      <c r="G126" s="365">
        <v>139.44999999999999</v>
      </c>
      <c r="H126" s="365">
        <v>139.5</v>
      </c>
      <c r="I126" s="365"/>
      <c r="J126" s="365"/>
      <c r="K126" s="365"/>
      <c r="L126" s="365"/>
      <c r="M126" s="365"/>
    </row>
    <row r="127" spans="1:13" s="74" customFormat="1" ht="3.75" hidden="1" customHeight="1" x14ac:dyDescent="0.3">
      <c r="A127" s="425"/>
      <c r="B127" s="425"/>
      <c r="C127" s="425"/>
      <c r="D127" s="389"/>
      <c r="E127" s="337" t="s">
        <v>312</v>
      </c>
      <c r="F127" s="365">
        <f>62-62</f>
        <v>0</v>
      </c>
      <c r="G127" s="365">
        <v>0</v>
      </c>
      <c r="H127" s="365">
        <v>0</v>
      </c>
      <c r="I127" s="365"/>
      <c r="J127" s="365"/>
      <c r="K127" s="365"/>
      <c r="L127" s="365"/>
      <c r="M127" s="365"/>
    </row>
    <row r="128" spans="1:13" s="74" customFormat="1" ht="68.25" customHeight="1" x14ac:dyDescent="0.3">
      <c r="A128" s="425"/>
      <c r="B128" s="425"/>
      <c r="C128" s="425"/>
      <c r="D128" s="389"/>
      <c r="E128" s="337" t="s">
        <v>301</v>
      </c>
      <c r="F128" s="365">
        <v>94</v>
      </c>
      <c r="G128" s="365">
        <v>94</v>
      </c>
      <c r="H128" s="365">
        <v>55.9</v>
      </c>
      <c r="I128" s="365"/>
      <c r="J128" s="365"/>
      <c r="K128" s="365"/>
      <c r="L128" s="365"/>
      <c r="M128" s="365"/>
    </row>
    <row r="129" spans="1:13" s="74" customFormat="1" ht="41.25" customHeight="1" x14ac:dyDescent="0.3">
      <c r="A129" s="425"/>
      <c r="B129" s="425"/>
      <c r="C129" s="425"/>
      <c r="D129" s="389"/>
      <c r="E129" s="337" t="s">
        <v>537</v>
      </c>
      <c r="F129" s="365">
        <f>71.4</f>
        <v>71.400000000000006</v>
      </c>
      <c r="G129" s="365">
        <v>71.400000000000006</v>
      </c>
      <c r="H129" s="365">
        <v>71.400000000000006</v>
      </c>
      <c r="I129" s="365"/>
      <c r="J129" s="365"/>
      <c r="K129" s="365"/>
      <c r="L129" s="365"/>
      <c r="M129" s="365"/>
    </row>
    <row r="130" spans="1:13" s="74" customFormat="1" ht="36.75" customHeight="1" x14ac:dyDescent="0.3">
      <c r="A130" s="159" t="s">
        <v>181</v>
      </c>
      <c r="B130" s="159" t="s">
        <v>182</v>
      </c>
      <c r="C130" s="425"/>
      <c r="D130" s="389" t="s">
        <v>183</v>
      </c>
      <c r="E130" s="337"/>
      <c r="F130" s="467">
        <f>F131</f>
        <v>0</v>
      </c>
      <c r="G130" s="467"/>
      <c r="H130" s="467"/>
      <c r="I130" s="467"/>
      <c r="J130" s="467">
        <f>J131</f>
        <v>5029.1760000000004</v>
      </c>
      <c r="K130" s="467">
        <f>K131</f>
        <v>4700.2759999999998</v>
      </c>
      <c r="L130" s="467">
        <f>L131</f>
        <v>3095.1</v>
      </c>
      <c r="M130" s="467">
        <f>L130/J130*100</f>
        <v>61.542884957694852</v>
      </c>
    </row>
    <row r="131" spans="1:13" s="224" customFormat="1" ht="51.75" customHeight="1" x14ac:dyDescent="0.3">
      <c r="A131" s="425">
        <v>4016021</v>
      </c>
      <c r="B131" s="425">
        <v>6021</v>
      </c>
      <c r="C131" s="425">
        <v>610</v>
      </c>
      <c r="D131" s="389" t="s">
        <v>184</v>
      </c>
      <c r="E131" s="337" t="s">
        <v>476</v>
      </c>
      <c r="F131" s="468"/>
      <c r="G131" s="468"/>
      <c r="H131" s="468"/>
      <c r="I131" s="468"/>
      <c r="J131" s="468">
        <f>306.7+10+2097.05+51.85+1200+820+543.576</f>
        <v>5029.1760000000004</v>
      </c>
      <c r="K131" s="468">
        <f>306.7+10+1798.15+51.85+1170+820+543.576</f>
        <v>4700.2759999999998</v>
      </c>
      <c r="L131" s="468">
        <v>3095.1</v>
      </c>
      <c r="M131" s="468"/>
    </row>
    <row r="132" spans="1:13" s="74" customFormat="1" ht="38.25" customHeight="1" x14ac:dyDescent="0.3">
      <c r="A132" s="159" t="s">
        <v>185</v>
      </c>
      <c r="B132" s="159" t="s">
        <v>186</v>
      </c>
      <c r="C132" s="425"/>
      <c r="D132" s="158" t="s">
        <v>187</v>
      </c>
      <c r="E132" s="337"/>
      <c r="F132" s="467">
        <f>F134</f>
        <v>600</v>
      </c>
      <c r="G132" s="467">
        <f t="shared" ref="G132:H132" si="7">G134</f>
        <v>600</v>
      </c>
      <c r="H132" s="467">
        <f t="shared" si="7"/>
        <v>537.1</v>
      </c>
      <c r="I132" s="467">
        <f>H132/F132*100</f>
        <v>89.516666666666666</v>
      </c>
      <c r="J132" s="467">
        <f>J133</f>
        <v>633</v>
      </c>
      <c r="K132" s="467">
        <f>K133</f>
        <v>633</v>
      </c>
      <c r="L132" s="467">
        <f>L133</f>
        <v>428.4</v>
      </c>
      <c r="M132" s="467">
        <f>L132/J132*100</f>
        <v>67.677725118483409</v>
      </c>
    </row>
    <row r="133" spans="1:13" s="74" customFormat="1" ht="66" customHeight="1" x14ac:dyDescent="0.3">
      <c r="A133" s="159" t="s">
        <v>188</v>
      </c>
      <c r="B133" s="159" t="s">
        <v>189</v>
      </c>
      <c r="C133" s="159" t="s">
        <v>190</v>
      </c>
      <c r="D133" s="389" t="s">
        <v>191</v>
      </c>
      <c r="E133" s="337" t="s">
        <v>264</v>
      </c>
      <c r="F133" s="468"/>
      <c r="G133" s="468"/>
      <c r="H133" s="468"/>
      <c r="I133" s="468"/>
      <c r="J133" s="468">
        <v>633</v>
      </c>
      <c r="K133" s="468">
        <v>633</v>
      </c>
      <c r="L133" s="468">
        <f>428.4</f>
        <v>428.4</v>
      </c>
      <c r="M133" s="468"/>
    </row>
    <row r="134" spans="1:13" s="74" customFormat="1" ht="66" customHeight="1" x14ac:dyDescent="0.3">
      <c r="A134" s="159"/>
      <c r="B134" s="159"/>
      <c r="C134" s="159"/>
      <c r="D134" s="389"/>
      <c r="E134" s="337" t="s">
        <v>473</v>
      </c>
      <c r="F134" s="468">
        <v>600</v>
      </c>
      <c r="G134" s="468">
        <v>600</v>
      </c>
      <c r="H134" s="468">
        <v>537.1</v>
      </c>
      <c r="I134" s="468"/>
      <c r="J134" s="468"/>
      <c r="K134" s="468"/>
      <c r="L134" s="468"/>
      <c r="M134" s="468"/>
    </row>
    <row r="135" spans="1:13" s="74" customFormat="1" ht="23.25" customHeight="1" x14ac:dyDescent="0.3">
      <c r="A135" s="425">
        <v>4016060</v>
      </c>
      <c r="B135" s="425">
        <v>6060</v>
      </c>
      <c r="C135" s="425">
        <v>620</v>
      </c>
      <c r="D135" s="389" t="s">
        <v>192</v>
      </c>
      <c r="E135" s="337"/>
      <c r="F135" s="467">
        <f>SUM(F136:F142)</f>
        <v>17306.5</v>
      </c>
      <c r="G135" s="467">
        <f>SUM(G136:G142)</f>
        <v>14238.133</v>
      </c>
      <c r="H135" s="467">
        <f>SUM(H136:H142)</f>
        <v>12290.5</v>
      </c>
      <c r="I135" s="467">
        <f>H135/F135*100</f>
        <v>71.016670037269236</v>
      </c>
      <c r="J135" s="467">
        <f>322.3+950+116.8+70+423.7+100+47+350+50</f>
        <v>2429.8000000000002</v>
      </c>
      <c r="K135" s="467">
        <f>322.3+950+116.8+70+423.7+100+47+350+50</f>
        <v>2429.8000000000002</v>
      </c>
      <c r="L135" s="467">
        <v>1926.4</v>
      </c>
      <c r="M135" s="467">
        <f>L135/J135*100</f>
        <v>79.2822454523006</v>
      </c>
    </row>
    <row r="136" spans="1:13" s="74" customFormat="1" ht="51" customHeight="1" x14ac:dyDescent="0.3">
      <c r="A136" s="425"/>
      <c r="B136" s="425"/>
      <c r="C136" s="425"/>
      <c r="D136" s="403" t="s">
        <v>178</v>
      </c>
      <c r="E136" s="337" t="s">
        <v>275</v>
      </c>
      <c r="F136" s="469">
        <v>10402.9</v>
      </c>
      <c r="G136" s="469">
        <v>8254.5</v>
      </c>
      <c r="H136" s="469">
        <v>7739.8</v>
      </c>
      <c r="I136" s="468"/>
      <c r="J136" s="468"/>
      <c r="K136" s="468"/>
      <c r="L136" s="468"/>
      <c r="M136" s="468"/>
    </row>
    <row r="137" spans="1:13" s="74" customFormat="1" ht="54.75" customHeight="1" x14ac:dyDescent="0.3">
      <c r="A137" s="425"/>
      <c r="B137" s="425"/>
      <c r="C137" s="425"/>
      <c r="D137" s="403"/>
      <c r="E137" s="337" t="s">
        <v>302</v>
      </c>
      <c r="F137" s="470">
        <f>3654.9-46.5</f>
        <v>3608.4</v>
      </c>
      <c r="G137" s="470">
        <v>3426.7</v>
      </c>
      <c r="H137" s="470">
        <f>2655.4-12.9</f>
        <v>2642.5</v>
      </c>
      <c r="I137" s="365"/>
      <c r="J137" s="365"/>
      <c r="K137" s="365"/>
      <c r="L137" s="365"/>
      <c r="M137" s="365"/>
    </row>
    <row r="138" spans="1:13" s="74" customFormat="1" ht="55.5" customHeight="1" x14ac:dyDescent="0.3">
      <c r="A138" s="425"/>
      <c r="B138" s="425"/>
      <c r="C138" s="425"/>
      <c r="D138" s="403"/>
      <c r="E138" s="337" t="s">
        <v>266</v>
      </c>
      <c r="F138" s="469">
        <v>2789.9</v>
      </c>
      <c r="G138" s="469">
        <f>910.5+228.6+223.611+219.611+228.611+240.7</f>
        <v>2051.6329999999994</v>
      </c>
      <c r="H138" s="469">
        <v>1406.2</v>
      </c>
      <c r="I138" s="365"/>
      <c r="J138" s="365"/>
      <c r="K138" s="365"/>
      <c r="L138" s="365"/>
      <c r="M138" s="365"/>
    </row>
    <row r="139" spans="1:13" s="74" customFormat="1" ht="79.5" customHeight="1" x14ac:dyDescent="0.3">
      <c r="A139" s="425"/>
      <c r="B139" s="425"/>
      <c r="C139" s="425"/>
      <c r="D139" s="389"/>
      <c r="E139" s="337" t="s">
        <v>257</v>
      </c>
      <c r="F139" s="469">
        <v>0</v>
      </c>
      <c r="G139" s="469">
        <v>0</v>
      </c>
      <c r="H139" s="469">
        <v>0</v>
      </c>
      <c r="I139" s="365"/>
      <c r="J139" s="365"/>
      <c r="K139" s="365"/>
      <c r="L139" s="365"/>
      <c r="M139" s="365"/>
    </row>
    <row r="140" spans="1:13" s="74" customFormat="1" ht="48" x14ac:dyDescent="0.3">
      <c r="A140" s="425"/>
      <c r="B140" s="425"/>
      <c r="C140" s="425"/>
      <c r="D140" s="389"/>
      <c r="E140" s="337" t="s">
        <v>391</v>
      </c>
      <c r="F140" s="469">
        <v>300</v>
      </c>
      <c r="G140" s="469">
        <v>300</v>
      </c>
      <c r="H140" s="469">
        <v>300</v>
      </c>
      <c r="I140" s="365"/>
      <c r="J140" s="365"/>
      <c r="K140" s="365"/>
      <c r="L140" s="365"/>
      <c r="M140" s="365"/>
    </row>
    <row r="141" spans="1:13" s="74" customFormat="1" ht="32.25" x14ac:dyDescent="0.3">
      <c r="A141" s="425"/>
      <c r="B141" s="425"/>
      <c r="C141" s="425"/>
      <c r="D141" s="389"/>
      <c r="E141" s="337" t="s">
        <v>475</v>
      </c>
      <c r="F141" s="469">
        <v>200</v>
      </c>
      <c r="G141" s="469">
        <v>200</v>
      </c>
      <c r="H141" s="469">
        <v>196.7</v>
      </c>
      <c r="I141" s="365"/>
      <c r="J141" s="365"/>
      <c r="K141" s="365"/>
      <c r="L141" s="365"/>
      <c r="M141" s="365"/>
    </row>
    <row r="142" spans="1:13" s="74" customFormat="1" ht="48" x14ac:dyDescent="0.3">
      <c r="A142" s="425"/>
      <c r="B142" s="425"/>
      <c r="C142" s="425"/>
      <c r="D142" s="389"/>
      <c r="E142" s="337" t="s">
        <v>474</v>
      </c>
      <c r="F142" s="365">
        <v>5.3</v>
      </c>
      <c r="G142" s="365">
        <v>5.3</v>
      </c>
      <c r="H142" s="365">
        <v>5.3</v>
      </c>
      <c r="I142" s="365"/>
      <c r="J142" s="365"/>
      <c r="K142" s="365"/>
      <c r="L142" s="365"/>
      <c r="M142" s="365"/>
    </row>
    <row r="143" spans="1:13" s="74" customFormat="1" ht="41.25" customHeight="1" x14ac:dyDescent="0.3">
      <c r="A143" s="425">
        <v>4017420</v>
      </c>
      <c r="B143" s="425">
        <v>7420</v>
      </c>
      <c r="C143" s="425">
        <v>490</v>
      </c>
      <c r="D143" s="389" t="s">
        <v>194</v>
      </c>
      <c r="E143" s="337"/>
      <c r="F143" s="365">
        <f>SUM(F144:F147)</f>
        <v>233</v>
      </c>
      <c r="G143" s="365">
        <f>SUM(G144:G147)</f>
        <v>233</v>
      </c>
      <c r="H143" s="365">
        <f>SUM(H144:H147)</f>
        <v>101.19999999999999</v>
      </c>
      <c r="I143" s="365">
        <f>H143/F143*100</f>
        <v>43.433476394849777</v>
      </c>
      <c r="J143" s="365">
        <f>150+42</f>
        <v>192</v>
      </c>
      <c r="K143" s="365">
        <f>150+42</f>
        <v>192</v>
      </c>
      <c r="L143" s="365">
        <f>42</f>
        <v>42</v>
      </c>
      <c r="M143" s="365">
        <f>L143/J143*100</f>
        <v>21.875</v>
      </c>
    </row>
    <row r="144" spans="1:13" s="74" customFormat="1" ht="81" customHeight="1" x14ac:dyDescent="0.3">
      <c r="A144" s="425"/>
      <c r="B144" s="425"/>
      <c r="C144" s="425"/>
      <c r="D144" s="403" t="s">
        <v>178</v>
      </c>
      <c r="E144" s="337" t="s">
        <v>384</v>
      </c>
      <c r="F144" s="365">
        <v>104.6</v>
      </c>
      <c r="G144" s="365">
        <v>104.6</v>
      </c>
      <c r="H144" s="365">
        <v>0</v>
      </c>
      <c r="I144" s="365"/>
      <c r="J144" s="365"/>
      <c r="K144" s="365"/>
      <c r="L144" s="365"/>
      <c r="M144" s="365"/>
    </row>
    <row r="145" spans="1:13" s="74" customFormat="1" ht="55.5" customHeight="1" x14ac:dyDescent="0.3">
      <c r="A145" s="425"/>
      <c r="B145" s="425"/>
      <c r="C145" s="425"/>
      <c r="D145" s="403"/>
      <c r="E145" s="337" t="s">
        <v>483</v>
      </c>
      <c r="F145" s="365">
        <v>64.900000000000006</v>
      </c>
      <c r="G145" s="365">
        <v>64.900000000000006</v>
      </c>
      <c r="H145" s="365">
        <v>38.299999999999997</v>
      </c>
      <c r="I145" s="365"/>
      <c r="J145" s="365"/>
      <c r="K145" s="365"/>
      <c r="L145" s="365"/>
      <c r="M145" s="365"/>
    </row>
    <row r="146" spans="1:13" s="74" customFormat="1" ht="69.75" customHeight="1" x14ac:dyDescent="0.3">
      <c r="A146" s="425"/>
      <c r="B146" s="425"/>
      <c r="C146" s="425"/>
      <c r="D146" s="403"/>
      <c r="E146" s="337" t="s">
        <v>461</v>
      </c>
      <c r="F146" s="365">
        <v>12.5</v>
      </c>
      <c r="G146" s="365">
        <v>12.5</v>
      </c>
      <c r="H146" s="365">
        <v>12.5</v>
      </c>
      <c r="I146" s="365"/>
      <c r="J146" s="365"/>
      <c r="K146" s="365"/>
      <c r="L146" s="365"/>
      <c r="M146" s="365"/>
    </row>
    <row r="147" spans="1:13" s="74" customFormat="1" ht="42" customHeight="1" x14ac:dyDescent="0.3">
      <c r="A147" s="425"/>
      <c r="B147" s="425"/>
      <c r="C147" s="425"/>
      <c r="D147" s="403"/>
      <c r="E147" s="337" t="s">
        <v>401</v>
      </c>
      <c r="F147" s="365">
        <v>51</v>
      </c>
      <c r="G147" s="365">
        <v>51</v>
      </c>
      <c r="H147" s="365">
        <v>50.4</v>
      </c>
      <c r="I147" s="365"/>
      <c r="J147" s="365"/>
      <c r="K147" s="365"/>
      <c r="L147" s="365"/>
      <c r="M147" s="365"/>
    </row>
    <row r="148" spans="1:13" s="74" customFormat="1" ht="104.25" customHeight="1" x14ac:dyDescent="0.3">
      <c r="A148" s="425">
        <v>4019181</v>
      </c>
      <c r="B148" s="417" t="s">
        <v>313</v>
      </c>
      <c r="C148" s="417" t="s">
        <v>30</v>
      </c>
      <c r="D148" s="389" t="s">
        <v>314</v>
      </c>
      <c r="E148" s="345" t="s">
        <v>315</v>
      </c>
      <c r="F148" s="365"/>
      <c r="G148" s="365"/>
      <c r="H148" s="365"/>
      <c r="I148" s="365"/>
      <c r="J148" s="365">
        <v>127.292</v>
      </c>
      <c r="K148" s="365">
        <v>127.292</v>
      </c>
      <c r="L148" s="365">
        <v>127.3</v>
      </c>
      <c r="M148" s="365"/>
    </row>
    <row r="149" spans="1:13" s="71" customFormat="1" ht="90" customHeight="1" x14ac:dyDescent="0.3">
      <c r="A149" s="417"/>
      <c r="B149" s="437"/>
      <c r="C149" s="437"/>
      <c r="D149" s="404"/>
      <c r="E149" s="338" t="s">
        <v>530</v>
      </c>
      <c r="F149" s="366">
        <f>F151</f>
        <v>0</v>
      </c>
      <c r="G149" s="366"/>
      <c r="H149" s="366"/>
      <c r="I149" s="366"/>
      <c r="J149" s="467">
        <f>J150+J151+J153+J154+J157+J160+J156+J152</f>
        <v>25614.267000000007</v>
      </c>
      <c r="K149" s="467">
        <f>K150+K151+K153+K154+K157+K160+K156+K152</f>
        <v>22324.267</v>
      </c>
      <c r="L149" s="467">
        <f>L150+L151+L153+L154+L157+L160+L156+L152</f>
        <v>7406.7000000000007</v>
      </c>
      <c r="M149" s="467">
        <f>L149/J149*100</f>
        <v>28.916306681741073</v>
      </c>
    </row>
    <row r="150" spans="1:13" s="71" customFormat="1" ht="84" customHeight="1" x14ac:dyDescent="0.3">
      <c r="A150" s="159" t="s">
        <v>316</v>
      </c>
      <c r="B150" s="159" t="s">
        <v>317</v>
      </c>
      <c r="C150" s="234" t="s">
        <v>190</v>
      </c>
      <c r="D150" s="237" t="s">
        <v>318</v>
      </c>
      <c r="E150" s="337" t="s">
        <v>319</v>
      </c>
      <c r="F150" s="366"/>
      <c r="G150" s="366"/>
      <c r="H150" s="366"/>
      <c r="I150" s="366"/>
      <c r="J150" s="468">
        <v>100</v>
      </c>
      <c r="K150" s="468">
        <v>100</v>
      </c>
      <c r="L150" s="468">
        <v>0</v>
      </c>
      <c r="M150" s="467"/>
    </row>
    <row r="151" spans="1:13" s="71" customFormat="1" ht="39.75" customHeight="1" x14ac:dyDescent="0.3">
      <c r="A151" s="159" t="s">
        <v>196</v>
      </c>
      <c r="B151" s="159" t="s">
        <v>36</v>
      </c>
      <c r="C151" s="417" t="s">
        <v>37</v>
      </c>
      <c r="D151" s="158" t="s">
        <v>197</v>
      </c>
      <c r="E151" s="348" t="s">
        <v>260</v>
      </c>
      <c r="F151" s="365"/>
      <c r="G151" s="365"/>
      <c r="H151" s="365"/>
      <c r="I151" s="365"/>
      <c r="J151" s="468">
        <f>2500+120+10+10+10+5600+80+120.1+1006.2+265.772+186.6+3324+850+80.9+700+200</f>
        <v>15063.572000000002</v>
      </c>
      <c r="K151" s="468">
        <f>450+120+10+10+10+5200+80+120.1+1006.2+265.772+186.6+3324+850+80.9+65</f>
        <v>11778.572</v>
      </c>
      <c r="L151" s="468">
        <v>6059.8</v>
      </c>
      <c r="M151" s="468"/>
    </row>
    <row r="152" spans="1:13" s="71" customFormat="1" ht="82.5" customHeight="1" x14ac:dyDescent="0.3">
      <c r="A152" s="159" t="s">
        <v>363</v>
      </c>
      <c r="B152" s="159" t="s">
        <v>364</v>
      </c>
      <c r="C152" s="417" t="s">
        <v>211</v>
      </c>
      <c r="D152" s="158" t="s">
        <v>362</v>
      </c>
      <c r="E152" s="348" t="s">
        <v>445</v>
      </c>
      <c r="F152" s="365"/>
      <c r="G152" s="365"/>
      <c r="H152" s="365"/>
      <c r="I152" s="365"/>
      <c r="J152" s="468">
        <v>98.037000000000006</v>
      </c>
      <c r="K152" s="468">
        <f>J152</f>
        <v>98.037000000000006</v>
      </c>
      <c r="L152" s="468">
        <v>98</v>
      </c>
      <c r="M152" s="468"/>
    </row>
    <row r="153" spans="1:13" s="10" customFormat="1" ht="51" customHeight="1" x14ac:dyDescent="0.25">
      <c r="A153" s="440" t="s">
        <v>198</v>
      </c>
      <c r="B153" s="440" t="s">
        <v>199</v>
      </c>
      <c r="C153" s="440" t="s">
        <v>190</v>
      </c>
      <c r="D153" s="158" t="s">
        <v>192</v>
      </c>
      <c r="E153" s="338" t="s">
        <v>261</v>
      </c>
      <c r="F153" s="365">
        <v>0</v>
      </c>
      <c r="G153" s="365"/>
      <c r="H153" s="365"/>
      <c r="I153" s="365"/>
      <c r="J153" s="468">
        <v>37.9</v>
      </c>
      <c r="K153" s="468">
        <v>37.9</v>
      </c>
      <c r="L153" s="468">
        <v>25.6</v>
      </c>
      <c r="M153" s="468"/>
    </row>
    <row r="154" spans="1:13" s="10" customFormat="1" ht="36" customHeight="1" x14ac:dyDescent="0.25">
      <c r="A154" s="440" t="s">
        <v>181</v>
      </c>
      <c r="B154" s="440" t="s">
        <v>182</v>
      </c>
      <c r="C154" s="440" t="s">
        <v>200</v>
      </c>
      <c r="D154" s="158" t="s">
        <v>183</v>
      </c>
      <c r="E154" s="338"/>
      <c r="F154" s="365">
        <f>F155</f>
        <v>0</v>
      </c>
      <c r="G154" s="365"/>
      <c r="H154" s="365"/>
      <c r="I154" s="365"/>
      <c r="J154" s="468">
        <f>J155</f>
        <v>20</v>
      </c>
      <c r="K154" s="468">
        <f>K155</f>
        <v>15</v>
      </c>
      <c r="L154" s="468">
        <f>L155</f>
        <v>6.7</v>
      </c>
      <c r="M154" s="468"/>
    </row>
    <row r="155" spans="1:13" s="71" customFormat="1" ht="37.5" customHeight="1" x14ac:dyDescent="0.25">
      <c r="A155" s="441" t="s">
        <v>201</v>
      </c>
      <c r="B155" s="441" t="s">
        <v>202</v>
      </c>
      <c r="C155" s="441" t="s">
        <v>203</v>
      </c>
      <c r="D155" s="238" t="s">
        <v>184</v>
      </c>
      <c r="E155" s="338" t="s">
        <v>262</v>
      </c>
      <c r="F155" s="365"/>
      <c r="G155" s="365"/>
      <c r="H155" s="365"/>
      <c r="I155" s="365"/>
      <c r="J155" s="468">
        <v>20</v>
      </c>
      <c r="K155" s="468">
        <v>15</v>
      </c>
      <c r="L155" s="468">
        <v>6.7</v>
      </c>
      <c r="M155" s="468"/>
    </row>
    <row r="156" spans="1:13" s="71" customFormat="1" ht="61.5" customHeight="1" x14ac:dyDescent="0.25">
      <c r="A156" s="440" t="s">
        <v>216</v>
      </c>
      <c r="B156" s="440" t="s">
        <v>217</v>
      </c>
      <c r="C156" s="440" t="s">
        <v>37</v>
      </c>
      <c r="D156" s="158" t="s">
        <v>194</v>
      </c>
      <c r="E156" s="338" t="s">
        <v>469</v>
      </c>
      <c r="F156" s="365"/>
      <c r="G156" s="365"/>
      <c r="H156" s="365"/>
      <c r="I156" s="365"/>
      <c r="J156" s="468">
        <f>293.1+390.96</f>
        <v>684.06</v>
      </c>
      <c r="K156" s="468">
        <f>293.1+390.96</f>
        <v>684.06</v>
      </c>
      <c r="L156" s="468">
        <f>288.1+391</f>
        <v>679.1</v>
      </c>
      <c r="M156" s="468"/>
    </row>
    <row r="157" spans="1:13" s="71" customFormat="1" ht="29.25" customHeight="1" x14ac:dyDescent="0.25">
      <c r="A157" s="440" t="s">
        <v>204</v>
      </c>
      <c r="B157" s="440" t="s">
        <v>128</v>
      </c>
      <c r="C157" s="440" t="s">
        <v>205</v>
      </c>
      <c r="D157" s="457" t="s">
        <v>206</v>
      </c>
      <c r="E157" s="338"/>
      <c r="F157" s="365">
        <f>SUM(F158:F159)</f>
        <v>0</v>
      </c>
      <c r="G157" s="365"/>
      <c r="H157" s="365"/>
      <c r="I157" s="365"/>
      <c r="J157" s="468">
        <f>SUM(J158:J159)</f>
        <v>1936.3999999999999</v>
      </c>
      <c r="K157" s="468">
        <f>SUM(K158:K159)</f>
        <v>1936.3999999999999</v>
      </c>
      <c r="L157" s="468">
        <f>SUM(L158:L159)</f>
        <v>174.2</v>
      </c>
      <c r="M157" s="468"/>
    </row>
    <row r="158" spans="1:13" s="71" customFormat="1" ht="105.75" customHeight="1" x14ac:dyDescent="0.25">
      <c r="A158" s="441"/>
      <c r="B158" s="441"/>
      <c r="C158" s="441"/>
      <c r="D158" s="404" t="s">
        <v>178</v>
      </c>
      <c r="E158" s="348" t="s">
        <v>440</v>
      </c>
      <c r="F158" s="365"/>
      <c r="G158" s="365"/>
      <c r="H158" s="365"/>
      <c r="I158" s="365"/>
      <c r="J158" s="472">
        <v>1908.1</v>
      </c>
      <c r="K158" s="472">
        <v>1908.1</v>
      </c>
      <c r="L158" s="472">
        <v>146.5</v>
      </c>
      <c r="M158" s="471"/>
    </row>
    <row r="159" spans="1:13" s="71" customFormat="1" ht="66" customHeight="1" x14ac:dyDescent="0.25">
      <c r="A159" s="441"/>
      <c r="B159" s="441"/>
      <c r="C159" s="441"/>
      <c r="D159" s="404"/>
      <c r="E159" s="348" t="s">
        <v>439</v>
      </c>
      <c r="F159" s="365"/>
      <c r="G159" s="365"/>
      <c r="H159" s="365"/>
      <c r="I159" s="365"/>
      <c r="J159" s="472">
        <v>28.3</v>
      </c>
      <c r="K159" s="472">
        <v>28.3</v>
      </c>
      <c r="L159" s="472">
        <v>27.7</v>
      </c>
      <c r="M159" s="471"/>
    </row>
    <row r="160" spans="1:13" s="71" customFormat="1" ht="166.5" customHeight="1" x14ac:dyDescent="0.25">
      <c r="A160" s="440" t="s">
        <v>209</v>
      </c>
      <c r="B160" s="440" t="s">
        <v>210</v>
      </c>
      <c r="C160" s="440" t="s">
        <v>211</v>
      </c>
      <c r="D160" s="158" t="s">
        <v>212</v>
      </c>
      <c r="E160" s="348" t="s">
        <v>477</v>
      </c>
      <c r="F160" s="365"/>
      <c r="G160" s="365"/>
      <c r="H160" s="365"/>
      <c r="I160" s="365"/>
      <c r="J160" s="468">
        <f>3230.2+3469.8+28.3+905.998+40</f>
        <v>7674.2980000000007</v>
      </c>
      <c r="K160" s="468">
        <f>3230.2+3469.8+28.3+905.998+40</f>
        <v>7674.2980000000007</v>
      </c>
      <c r="L160" s="468">
        <f>23.1+26.9+27.7+285.6</f>
        <v>363.3</v>
      </c>
      <c r="M160" s="468"/>
    </row>
    <row r="161" spans="1:13" s="228" customFormat="1" ht="77.25" customHeight="1" x14ac:dyDescent="0.3">
      <c r="A161" s="234"/>
      <c r="B161" s="425"/>
      <c r="C161" s="425"/>
      <c r="D161" s="389"/>
      <c r="E161" s="338" t="s">
        <v>529</v>
      </c>
      <c r="F161" s="467">
        <f>F162</f>
        <v>5064.9279999999999</v>
      </c>
      <c r="G161" s="467">
        <f>G162</f>
        <v>4775.3</v>
      </c>
      <c r="H161" s="467">
        <f>H162</f>
        <v>3002.0000000000005</v>
      </c>
      <c r="I161" s="467">
        <f>H161/F161*100</f>
        <v>59.270339084780687</v>
      </c>
      <c r="J161" s="366"/>
      <c r="K161" s="366"/>
      <c r="L161" s="366"/>
      <c r="M161" s="366"/>
    </row>
    <row r="162" spans="1:13" s="71" customFormat="1" ht="34.5" customHeight="1" x14ac:dyDescent="0.3">
      <c r="A162" s="159" t="s">
        <v>216</v>
      </c>
      <c r="B162" s="159" t="s">
        <v>217</v>
      </c>
      <c r="C162" s="425">
        <v>490</v>
      </c>
      <c r="D162" s="389" t="s">
        <v>194</v>
      </c>
      <c r="E162" s="349"/>
      <c r="F162" s="468">
        <f>SUM(F163:F168)</f>
        <v>5064.9279999999999</v>
      </c>
      <c r="G162" s="468">
        <f>SUM(G163:G168)</f>
        <v>4775.3</v>
      </c>
      <c r="H162" s="468">
        <f>SUM(H163:H168)</f>
        <v>3002.0000000000005</v>
      </c>
      <c r="I162" s="468"/>
      <c r="J162" s="365">
        <f>SUM(J163:J164)</f>
        <v>0</v>
      </c>
      <c r="K162" s="365"/>
      <c r="L162" s="365"/>
      <c r="M162" s="365"/>
    </row>
    <row r="163" spans="1:13" s="10" customFormat="1" ht="85.5" customHeight="1" x14ac:dyDescent="0.3">
      <c r="A163" s="159"/>
      <c r="B163" s="159"/>
      <c r="C163" s="425"/>
      <c r="D163" s="403" t="s">
        <v>178</v>
      </c>
      <c r="E163" s="338" t="s">
        <v>366</v>
      </c>
      <c r="F163" s="468">
        <v>78.2</v>
      </c>
      <c r="G163" s="468">
        <v>39.799999999999997</v>
      </c>
      <c r="H163" s="468">
        <v>20.9</v>
      </c>
      <c r="I163" s="468"/>
      <c r="J163" s="365"/>
      <c r="K163" s="365"/>
      <c r="L163" s="365"/>
      <c r="M163" s="365"/>
    </row>
    <row r="164" spans="1:13" s="10" customFormat="1" ht="102" customHeight="1" x14ac:dyDescent="0.3">
      <c r="A164" s="159"/>
      <c r="B164" s="159"/>
      <c r="C164" s="425"/>
      <c r="D164" s="389"/>
      <c r="E164" s="350" t="s">
        <v>276</v>
      </c>
      <c r="F164" s="468">
        <v>2420</v>
      </c>
      <c r="G164" s="468">
        <v>2420</v>
      </c>
      <c r="H164" s="468">
        <v>2420</v>
      </c>
      <c r="I164" s="468"/>
      <c r="J164" s="365"/>
      <c r="K164" s="365"/>
      <c r="L164" s="365"/>
      <c r="M164" s="365"/>
    </row>
    <row r="165" spans="1:13" s="10" customFormat="1" ht="103.5" customHeight="1" x14ac:dyDescent="0.3">
      <c r="A165" s="159"/>
      <c r="B165" s="159"/>
      <c r="C165" s="425"/>
      <c r="D165" s="389"/>
      <c r="E165" s="350" t="s">
        <v>462</v>
      </c>
      <c r="F165" s="468">
        <f>251.2+1748.83</f>
        <v>2000.03</v>
      </c>
      <c r="G165" s="468">
        <v>1748.8</v>
      </c>
      <c r="H165" s="468">
        <v>0</v>
      </c>
      <c r="I165" s="468"/>
      <c r="J165" s="365"/>
      <c r="K165" s="365"/>
      <c r="L165" s="365"/>
      <c r="M165" s="365"/>
    </row>
    <row r="166" spans="1:13" s="10" customFormat="1" ht="70.5" customHeight="1" x14ac:dyDescent="0.3">
      <c r="A166" s="159"/>
      <c r="B166" s="159"/>
      <c r="C166" s="425"/>
      <c r="D166" s="389"/>
      <c r="E166" s="350" t="s">
        <v>386</v>
      </c>
      <c r="F166" s="468">
        <v>195</v>
      </c>
      <c r="G166" s="468">
        <v>195</v>
      </c>
      <c r="H166" s="468">
        <v>191.9</v>
      </c>
      <c r="I166" s="468"/>
      <c r="J166" s="365"/>
      <c r="K166" s="365"/>
      <c r="L166" s="365"/>
      <c r="M166" s="365"/>
    </row>
    <row r="167" spans="1:13" s="10" customFormat="1" ht="102.75" customHeight="1" x14ac:dyDescent="0.3">
      <c r="A167" s="159"/>
      <c r="B167" s="159"/>
      <c r="C167" s="425"/>
      <c r="D167" s="389"/>
      <c r="E167" s="350" t="s">
        <v>343</v>
      </c>
      <c r="F167" s="468">
        <v>195</v>
      </c>
      <c r="G167" s="468">
        <v>195</v>
      </c>
      <c r="H167" s="468">
        <v>194.9</v>
      </c>
      <c r="I167" s="468"/>
      <c r="J167" s="365"/>
      <c r="K167" s="365"/>
      <c r="L167" s="365"/>
      <c r="M167" s="365"/>
    </row>
    <row r="168" spans="1:13" s="10" customFormat="1" ht="86.25" customHeight="1" x14ac:dyDescent="0.3">
      <c r="A168" s="159"/>
      <c r="B168" s="159"/>
      <c r="C168" s="425"/>
      <c r="D168" s="389"/>
      <c r="E168" s="350" t="s">
        <v>528</v>
      </c>
      <c r="F168" s="468">
        <f>150+26.698</f>
        <v>176.69800000000001</v>
      </c>
      <c r="G168" s="468">
        <v>176.7</v>
      </c>
      <c r="H168" s="468">
        <f>173.4+0.9</f>
        <v>174.3</v>
      </c>
      <c r="I168" s="468"/>
      <c r="J168" s="365"/>
      <c r="K168" s="365"/>
      <c r="L168" s="365"/>
      <c r="M168" s="365"/>
    </row>
    <row r="169" spans="1:13" s="228" customFormat="1" ht="78.75" customHeight="1" x14ac:dyDescent="0.3">
      <c r="A169" s="425"/>
      <c r="B169" s="234"/>
      <c r="C169" s="234"/>
      <c r="D169" s="158"/>
      <c r="E169" s="337" t="s">
        <v>527</v>
      </c>
      <c r="F169" s="366">
        <f>F170+F171</f>
        <v>240</v>
      </c>
      <c r="G169" s="366">
        <f t="shared" ref="G169:H169" si="8">G170+G171</f>
        <v>240</v>
      </c>
      <c r="H169" s="366">
        <f t="shared" si="8"/>
        <v>227.5</v>
      </c>
      <c r="I169" s="366">
        <f>H169/F169*100</f>
        <v>94.791666666666657</v>
      </c>
      <c r="J169" s="366">
        <f>J170+J171</f>
        <v>435</v>
      </c>
      <c r="K169" s="366">
        <f>K170+K171</f>
        <v>435</v>
      </c>
      <c r="L169" s="366">
        <f>L170+L171</f>
        <v>238.7</v>
      </c>
      <c r="M169" s="366">
        <f>L169/J169*100</f>
        <v>54.8735632183908</v>
      </c>
    </row>
    <row r="170" spans="1:13" s="65" customFormat="1" ht="50.25" customHeight="1" x14ac:dyDescent="0.3">
      <c r="A170" s="159" t="s">
        <v>188</v>
      </c>
      <c r="B170" s="159" t="s">
        <v>189</v>
      </c>
      <c r="C170" s="159" t="s">
        <v>190</v>
      </c>
      <c r="D170" s="389" t="s">
        <v>191</v>
      </c>
      <c r="E170" s="337" t="s">
        <v>320</v>
      </c>
      <c r="F170" s="366"/>
      <c r="G170" s="366"/>
      <c r="H170" s="366"/>
      <c r="I170" s="366"/>
      <c r="J170" s="365">
        <v>435</v>
      </c>
      <c r="K170" s="365">
        <v>435</v>
      </c>
      <c r="L170" s="365">
        <f>238.7</f>
        <v>238.7</v>
      </c>
      <c r="M170" s="366"/>
    </row>
    <row r="171" spans="1:13" s="228" customFormat="1" ht="72.75" customHeight="1" x14ac:dyDescent="0.3">
      <c r="A171" s="425">
        <v>4016060</v>
      </c>
      <c r="B171" s="234" t="s">
        <v>199</v>
      </c>
      <c r="C171" s="234" t="s">
        <v>190</v>
      </c>
      <c r="D171" s="158" t="s">
        <v>192</v>
      </c>
      <c r="E171" s="350" t="s">
        <v>219</v>
      </c>
      <c r="F171" s="377">
        <v>240</v>
      </c>
      <c r="G171" s="377">
        <f>211.7+28.3</f>
        <v>240</v>
      </c>
      <c r="H171" s="365">
        <f>211.6+15.9</f>
        <v>227.5</v>
      </c>
      <c r="I171" s="365"/>
      <c r="J171" s="365"/>
      <c r="K171" s="365"/>
      <c r="L171" s="365"/>
      <c r="M171" s="365"/>
    </row>
    <row r="172" spans="1:13" s="228" customFormat="1" ht="78.75" customHeight="1" x14ac:dyDescent="0.3">
      <c r="A172" s="159"/>
      <c r="B172" s="159"/>
      <c r="C172" s="159"/>
      <c r="D172" s="405"/>
      <c r="E172" s="456" t="s">
        <v>526</v>
      </c>
      <c r="F172" s="366">
        <f>F173</f>
        <v>9</v>
      </c>
      <c r="G172" s="366">
        <f t="shared" ref="G172:H172" si="9">G173</f>
        <v>9</v>
      </c>
      <c r="H172" s="366">
        <f t="shared" si="9"/>
        <v>1.8</v>
      </c>
      <c r="I172" s="366"/>
      <c r="J172" s="366"/>
      <c r="K172" s="366"/>
      <c r="L172" s="366"/>
      <c r="M172" s="366"/>
    </row>
    <row r="173" spans="1:13" s="65" customFormat="1" ht="42.75" customHeight="1" x14ac:dyDescent="0.3">
      <c r="A173" s="159" t="s">
        <v>216</v>
      </c>
      <c r="B173" s="159" t="s">
        <v>217</v>
      </c>
      <c r="C173" s="159" t="s">
        <v>37</v>
      </c>
      <c r="D173" s="405" t="s">
        <v>220</v>
      </c>
      <c r="E173" s="337" t="s">
        <v>221</v>
      </c>
      <c r="F173" s="365">
        <v>9</v>
      </c>
      <c r="G173" s="365">
        <v>9</v>
      </c>
      <c r="H173" s="365">
        <v>1.8</v>
      </c>
      <c r="I173" s="365"/>
      <c r="J173" s="365"/>
      <c r="K173" s="365"/>
      <c r="L173" s="365"/>
      <c r="M173" s="365"/>
    </row>
    <row r="174" spans="1:13" s="228" customFormat="1" ht="58.5" customHeight="1" x14ac:dyDescent="0.3">
      <c r="A174" s="425"/>
      <c r="B174" s="234"/>
      <c r="C174" s="234"/>
      <c r="D174" s="158"/>
      <c r="E174" s="338" t="s">
        <v>525</v>
      </c>
      <c r="F174" s="366">
        <f>F175</f>
        <v>130</v>
      </c>
      <c r="G174" s="366">
        <f>G175</f>
        <v>130</v>
      </c>
      <c r="H174" s="366">
        <f>H175</f>
        <v>18.100000000000001</v>
      </c>
      <c r="I174" s="366">
        <f>H174/F174*100</f>
        <v>13.923076923076923</v>
      </c>
      <c r="J174" s="366">
        <f>J176</f>
        <v>54.7</v>
      </c>
      <c r="K174" s="366">
        <f>K176</f>
        <v>54.7</v>
      </c>
      <c r="L174" s="366">
        <f>L176</f>
        <v>54.7</v>
      </c>
      <c r="M174" s="366">
        <f>L174/J174*100</f>
        <v>100</v>
      </c>
    </row>
    <row r="175" spans="1:13" s="10" customFormat="1" ht="66.75" customHeight="1" x14ac:dyDescent="0.3">
      <c r="A175" s="425">
        <v>4016060</v>
      </c>
      <c r="B175" s="234" t="s">
        <v>199</v>
      </c>
      <c r="C175" s="234" t="s">
        <v>190</v>
      </c>
      <c r="D175" s="158" t="s">
        <v>192</v>
      </c>
      <c r="E175" s="350" t="s">
        <v>267</v>
      </c>
      <c r="F175" s="378">
        <v>130</v>
      </c>
      <c r="G175" s="365">
        <f>30+30+30+40</f>
        <v>130</v>
      </c>
      <c r="H175" s="365">
        <f>18.1</f>
        <v>18.100000000000001</v>
      </c>
      <c r="I175" s="365"/>
      <c r="J175" s="365"/>
      <c r="K175" s="365"/>
      <c r="L175" s="365"/>
      <c r="M175" s="365"/>
    </row>
    <row r="176" spans="1:13" s="10" customFormat="1" ht="68.25" customHeight="1" x14ac:dyDescent="0.3">
      <c r="A176" s="425"/>
      <c r="B176" s="234"/>
      <c r="C176" s="234"/>
      <c r="D176" s="158"/>
      <c r="E176" s="350" t="s">
        <v>223</v>
      </c>
      <c r="F176" s="365"/>
      <c r="G176" s="365"/>
      <c r="H176" s="365"/>
      <c r="I176" s="365"/>
      <c r="J176" s="365">
        <v>54.7</v>
      </c>
      <c r="K176" s="365">
        <v>54.7</v>
      </c>
      <c r="L176" s="365">
        <v>54.7</v>
      </c>
      <c r="M176" s="365"/>
    </row>
    <row r="177" spans="1:13" s="228" customFormat="1" ht="78.75" customHeight="1" x14ac:dyDescent="0.3">
      <c r="A177" s="425"/>
      <c r="B177" s="234"/>
      <c r="C177" s="234"/>
      <c r="D177" s="389"/>
      <c r="E177" s="338" t="s">
        <v>524</v>
      </c>
      <c r="F177" s="366">
        <f>F178+F179+F181+F183+F180+F182</f>
        <v>610.29999999999995</v>
      </c>
      <c r="G177" s="366">
        <f>G178+G179+G181+G183+G180+G182</f>
        <v>510.49999999999994</v>
      </c>
      <c r="H177" s="366">
        <f>H178+H179+H181+H183+H180+H182</f>
        <v>326.2</v>
      </c>
      <c r="I177" s="366">
        <f>H177/F177*100</f>
        <v>53.449123381943309</v>
      </c>
      <c r="J177" s="366">
        <f>-J178+J179+J181+J182+J183</f>
        <v>52.91</v>
      </c>
      <c r="K177" s="366">
        <f>-K178+K179+K181+K182+K183</f>
        <v>52.91</v>
      </c>
      <c r="L177" s="366">
        <f>-L178+L179+L181+L182+L183</f>
        <v>51.9</v>
      </c>
      <c r="M177" s="366">
        <f>L177/J177*100</f>
        <v>98.09109809109809</v>
      </c>
    </row>
    <row r="178" spans="1:13" s="65" customFormat="1" ht="86.25" customHeight="1" x14ac:dyDescent="0.3">
      <c r="A178" s="425">
        <v>4016060</v>
      </c>
      <c r="B178" s="234" t="s">
        <v>199</v>
      </c>
      <c r="C178" s="234" t="s">
        <v>190</v>
      </c>
      <c r="D178" s="389" t="s">
        <v>224</v>
      </c>
      <c r="E178" s="338" t="s">
        <v>402</v>
      </c>
      <c r="F178" s="379">
        <v>400</v>
      </c>
      <c r="G178" s="365">
        <f>232+32+32+30.2+14+14</f>
        <v>354.2</v>
      </c>
      <c r="H178" s="365">
        <v>199.9</v>
      </c>
      <c r="I178" s="365"/>
      <c r="J178" s="365"/>
      <c r="K178" s="365"/>
      <c r="L178" s="365"/>
      <c r="M178" s="365"/>
    </row>
    <row r="179" spans="1:13" s="65" customFormat="1" ht="57" customHeight="1" x14ac:dyDescent="0.3">
      <c r="A179" s="425">
        <v>4017420</v>
      </c>
      <c r="B179" s="234" t="s">
        <v>217</v>
      </c>
      <c r="C179" s="234" t="s">
        <v>37</v>
      </c>
      <c r="D179" s="405" t="s">
        <v>194</v>
      </c>
      <c r="E179" s="338" t="s">
        <v>226</v>
      </c>
      <c r="F179" s="377">
        <v>200</v>
      </c>
      <c r="G179" s="365">
        <f>78+17+17+17+17</f>
        <v>146</v>
      </c>
      <c r="H179" s="365">
        <v>116.4</v>
      </c>
      <c r="I179" s="365"/>
      <c r="J179" s="365"/>
      <c r="K179" s="365"/>
      <c r="L179" s="365"/>
      <c r="M179" s="365"/>
    </row>
    <row r="180" spans="1:13" s="65" customFormat="1" ht="39" customHeight="1" x14ac:dyDescent="0.3">
      <c r="A180" s="425"/>
      <c r="B180" s="234"/>
      <c r="C180" s="234"/>
      <c r="D180" s="405"/>
      <c r="E180" s="338" t="s">
        <v>460</v>
      </c>
      <c r="F180" s="377">
        <v>6.4</v>
      </c>
      <c r="G180" s="365">
        <v>6.4</v>
      </c>
      <c r="H180" s="365">
        <v>6</v>
      </c>
      <c r="I180" s="365"/>
      <c r="J180" s="365"/>
      <c r="K180" s="365"/>
      <c r="L180" s="365"/>
      <c r="M180" s="365"/>
    </row>
    <row r="181" spans="1:13" s="65" customFormat="1" ht="21" customHeight="1" x14ac:dyDescent="0.3">
      <c r="A181" s="425"/>
      <c r="B181" s="234"/>
      <c r="C181" s="234"/>
      <c r="D181" s="405"/>
      <c r="E181" s="338" t="s">
        <v>367</v>
      </c>
      <c r="F181" s="377"/>
      <c r="G181" s="377"/>
      <c r="H181" s="377"/>
      <c r="I181" s="365"/>
      <c r="J181" s="378">
        <v>42.87</v>
      </c>
      <c r="K181" s="365">
        <v>42.87</v>
      </c>
      <c r="L181" s="365">
        <v>42.9</v>
      </c>
      <c r="M181" s="365"/>
    </row>
    <row r="182" spans="1:13" s="65" customFormat="1" ht="21.75" customHeight="1" x14ac:dyDescent="0.3">
      <c r="A182" s="425"/>
      <c r="B182" s="234"/>
      <c r="C182" s="234"/>
      <c r="D182" s="405"/>
      <c r="E182" s="338" t="s">
        <v>444</v>
      </c>
      <c r="F182" s="377"/>
      <c r="G182" s="377"/>
      <c r="H182" s="377"/>
      <c r="I182" s="365"/>
      <c r="J182" s="378">
        <v>10.039999999999999</v>
      </c>
      <c r="K182" s="365">
        <v>10.039999999999999</v>
      </c>
      <c r="L182" s="365">
        <v>9</v>
      </c>
      <c r="M182" s="365"/>
    </row>
    <row r="183" spans="1:13" s="65" customFormat="1" ht="59.25" customHeight="1" x14ac:dyDescent="0.3">
      <c r="A183" s="425"/>
      <c r="B183" s="234"/>
      <c r="C183" s="234"/>
      <c r="D183" s="405"/>
      <c r="E183" s="338" t="s">
        <v>368</v>
      </c>
      <c r="F183" s="365">
        <v>3.9</v>
      </c>
      <c r="G183" s="365">
        <v>3.9</v>
      </c>
      <c r="H183" s="365">
        <v>3.9</v>
      </c>
      <c r="I183" s="365"/>
      <c r="J183" s="365"/>
      <c r="K183" s="365"/>
      <c r="L183" s="365"/>
      <c r="M183" s="365"/>
    </row>
    <row r="184" spans="1:13" s="228" customFormat="1" ht="60" customHeight="1" x14ac:dyDescent="0.3">
      <c r="A184" s="425"/>
      <c r="B184" s="234" t="s">
        <v>422</v>
      </c>
      <c r="C184" s="234" t="s">
        <v>423</v>
      </c>
      <c r="D184" s="405" t="s">
        <v>424</v>
      </c>
      <c r="E184" s="456" t="s">
        <v>523</v>
      </c>
      <c r="F184" s="365">
        <f>F186+F185</f>
        <v>100.1</v>
      </c>
      <c r="G184" s="365">
        <f>G186+G185</f>
        <v>100.1</v>
      </c>
      <c r="H184" s="365">
        <f t="shared" ref="H184" si="10">H186</f>
        <v>0</v>
      </c>
      <c r="I184" s="365">
        <f>H184/F184*100</f>
        <v>0</v>
      </c>
      <c r="J184" s="365">
        <f>J185+J186</f>
        <v>9.5</v>
      </c>
      <c r="K184" s="365">
        <f>K185+K186</f>
        <v>9.5</v>
      </c>
      <c r="L184" s="365">
        <f>L185+L186</f>
        <v>8</v>
      </c>
      <c r="M184" s="365">
        <f>L184/J184*100</f>
        <v>84.210526315789465</v>
      </c>
    </row>
    <row r="185" spans="1:13" s="228" customFormat="1" ht="37.5" customHeight="1" x14ac:dyDescent="0.3">
      <c r="A185" s="425"/>
      <c r="B185" s="234"/>
      <c r="C185" s="234"/>
      <c r="D185" s="405"/>
      <c r="E185" s="338" t="s">
        <v>420</v>
      </c>
      <c r="F185" s="365"/>
      <c r="G185" s="365"/>
      <c r="H185" s="365"/>
      <c r="I185" s="365"/>
      <c r="J185" s="365">
        <v>9.5</v>
      </c>
      <c r="K185" s="365">
        <v>9.5</v>
      </c>
      <c r="L185" s="365">
        <v>8</v>
      </c>
      <c r="M185" s="365"/>
    </row>
    <row r="186" spans="1:13" s="228" customFormat="1" ht="32.25" customHeight="1" x14ac:dyDescent="0.3">
      <c r="A186" s="425"/>
      <c r="B186" s="234"/>
      <c r="C186" s="234"/>
      <c r="D186" s="405"/>
      <c r="E186" s="338" t="s">
        <v>370</v>
      </c>
      <c r="F186" s="365">
        <f>300-199.9</f>
        <v>100.1</v>
      </c>
      <c r="G186" s="365">
        <f>300-199.9</f>
        <v>100.1</v>
      </c>
      <c r="H186" s="365">
        <v>0</v>
      </c>
      <c r="I186" s="365"/>
      <c r="J186" s="365"/>
      <c r="K186" s="365"/>
      <c r="L186" s="365"/>
      <c r="M186" s="365"/>
    </row>
    <row r="187" spans="1:13" s="227" customFormat="1" ht="56.25" customHeight="1" x14ac:dyDescent="0.3">
      <c r="A187" s="437"/>
      <c r="B187" s="417"/>
      <c r="C187" s="417"/>
      <c r="D187" s="389"/>
      <c r="E187" s="351" t="s">
        <v>522</v>
      </c>
      <c r="F187" s="473">
        <f>F188+F189+F190+F191+F194</f>
        <v>1331.9</v>
      </c>
      <c r="G187" s="473">
        <f>G188+G189+G190+G191+G194</f>
        <v>1331.9</v>
      </c>
      <c r="H187" s="473">
        <f>H188+H189+H190+H191+H194</f>
        <v>1279.1000000000001</v>
      </c>
      <c r="I187" s="473">
        <f>H187/F187*100</f>
        <v>96.035738418800207</v>
      </c>
      <c r="J187" s="473">
        <f>J188+J191+J194</f>
        <v>4191.1000000000004</v>
      </c>
      <c r="K187" s="473">
        <f>K188+K191+K194</f>
        <v>2979.1</v>
      </c>
      <c r="L187" s="473">
        <f>L188+L191+L194</f>
        <v>1155.6999999999998</v>
      </c>
      <c r="M187" s="473">
        <f>L187/J187*100</f>
        <v>27.575099615852633</v>
      </c>
    </row>
    <row r="188" spans="1:13" s="19" customFormat="1" ht="68.25" customHeight="1" x14ac:dyDescent="0.3">
      <c r="A188" s="425">
        <v>4016010</v>
      </c>
      <c r="B188" s="417" t="s">
        <v>227</v>
      </c>
      <c r="C188" s="417" t="s">
        <v>203</v>
      </c>
      <c r="D188" s="389" t="s">
        <v>228</v>
      </c>
      <c r="E188" s="345" t="s">
        <v>229</v>
      </c>
      <c r="F188" s="474">
        <v>1181.9000000000001</v>
      </c>
      <c r="G188" s="474">
        <v>1181.9000000000001</v>
      </c>
      <c r="H188" s="474">
        <v>1163.9000000000001</v>
      </c>
      <c r="I188" s="474"/>
      <c r="J188" s="474"/>
      <c r="K188" s="474"/>
      <c r="L188" s="474"/>
      <c r="M188" s="474"/>
    </row>
    <row r="189" spans="1:13" s="19" customFormat="1" ht="86.25" customHeight="1" x14ac:dyDescent="0.3">
      <c r="A189" s="425"/>
      <c r="B189" s="417"/>
      <c r="C189" s="417"/>
      <c r="D189" s="389"/>
      <c r="E189" s="345" t="s">
        <v>434</v>
      </c>
      <c r="F189" s="474">
        <v>50</v>
      </c>
      <c r="G189" s="474">
        <v>50</v>
      </c>
      <c r="H189" s="474">
        <v>15.2</v>
      </c>
      <c r="I189" s="474"/>
      <c r="J189" s="474"/>
      <c r="K189" s="474"/>
      <c r="L189" s="474"/>
      <c r="M189" s="474"/>
    </row>
    <row r="190" spans="1:13" s="19" customFormat="1" ht="79.5" customHeight="1" x14ac:dyDescent="0.3">
      <c r="A190" s="425"/>
      <c r="B190" s="417"/>
      <c r="C190" s="417"/>
      <c r="D190" s="389"/>
      <c r="E190" s="345" t="s">
        <v>435</v>
      </c>
      <c r="F190" s="474">
        <v>100</v>
      </c>
      <c r="G190" s="474">
        <v>100</v>
      </c>
      <c r="H190" s="474">
        <v>100</v>
      </c>
      <c r="I190" s="474"/>
      <c r="J190" s="474"/>
      <c r="K190" s="474"/>
      <c r="L190" s="474"/>
      <c r="M190" s="474"/>
    </row>
    <row r="191" spans="1:13" s="19" customFormat="1" ht="39" customHeight="1" x14ac:dyDescent="0.3">
      <c r="A191" s="159" t="s">
        <v>181</v>
      </c>
      <c r="B191" s="159" t="s">
        <v>182</v>
      </c>
      <c r="C191" s="234" t="s">
        <v>203</v>
      </c>
      <c r="D191" s="158" t="s">
        <v>183</v>
      </c>
      <c r="E191" s="351"/>
      <c r="F191" s="474">
        <f>F192</f>
        <v>0</v>
      </c>
      <c r="G191" s="474"/>
      <c r="H191" s="474"/>
      <c r="I191" s="474"/>
      <c r="J191" s="474">
        <f>SUM(J192:J193)</f>
        <v>2681.1</v>
      </c>
      <c r="K191" s="474">
        <f>SUM(K192:K193)</f>
        <v>2029.1</v>
      </c>
      <c r="L191" s="474">
        <f>SUM(L192:L193)</f>
        <v>735.3</v>
      </c>
      <c r="M191" s="474">
        <f>L191/J191*100</f>
        <v>27.425310506881502</v>
      </c>
    </row>
    <row r="192" spans="1:13" s="227" customFormat="1" ht="69" customHeight="1" x14ac:dyDescent="0.3">
      <c r="A192" s="233" t="s">
        <v>230</v>
      </c>
      <c r="B192" s="233" t="s">
        <v>279</v>
      </c>
      <c r="C192" s="417" t="s">
        <v>203</v>
      </c>
      <c r="D192" s="389" t="s">
        <v>231</v>
      </c>
      <c r="E192" s="348" t="s">
        <v>268</v>
      </c>
      <c r="F192" s="474"/>
      <c r="G192" s="474"/>
      <c r="H192" s="474"/>
      <c r="I192" s="474"/>
      <c r="J192" s="475">
        <f>1710</f>
        <v>1710</v>
      </c>
      <c r="K192" s="475">
        <v>1313</v>
      </c>
      <c r="L192" s="475">
        <v>255.6</v>
      </c>
      <c r="M192" s="475"/>
    </row>
    <row r="193" spans="1:13" s="227" customFormat="1" ht="54" customHeight="1" x14ac:dyDescent="0.3">
      <c r="A193" s="233"/>
      <c r="B193" s="233"/>
      <c r="C193" s="417"/>
      <c r="D193" s="389"/>
      <c r="E193" s="348" t="s">
        <v>269</v>
      </c>
      <c r="F193" s="474"/>
      <c r="G193" s="474"/>
      <c r="H193" s="474"/>
      <c r="I193" s="474"/>
      <c r="J193" s="475">
        <v>971.1</v>
      </c>
      <c r="K193" s="475">
        <v>716.1</v>
      </c>
      <c r="L193" s="475">
        <v>479.7</v>
      </c>
      <c r="M193" s="475"/>
    </row>
    <row r="194" spans="1:13" s="227" customFormat="1" ht="35.25" customHeight="1" x14ac:dyDescent="0.3">
      <c r="A194" s="443">
        <v>4016310</v>
      </c>
      <c r="B194" s="417" t="s">
        <v>36</v>
      </c>
      <c r="C194" s="417" t="s">
        <v>37</v>
      </c>
      <c r="D194" s="389" t="s">
        <v>232</v>
      </c>
      <c r="E194" s="337"/>
      <c r="F194" s="474">
        <f>SUM(F195:F196)</f>
        <v>0</v>
      </c>
      <c r="G194" s="474"/>
      <c r="H194" s="474"/>
      <c r="I194" s="474"/>
      <c r="J194" s="474">
        <f>SUM(J195:J196)</f>
        <v>1510</v>
      </c>
      <c r="K194" s="474">
        <f>SUM(K195:K196)</f>
        <v>950</v>
      </c>
      <c r="L194" s="474">
        <f>SUM(L195:L196)</f>
        <v>420.4</v>
      </c>
      <c r="M194" s="474">
        <f>L194/J194*100</f>
        <v>27.841059602649004</v>
      </c>
    </row>
    <row r="195" spans="1:13" s="19" customFormat="1" ht="35.25" customHeight="1" x14ac:dyDescent="0.3">
      <c r="A195" s="443"/>
      <c r="B195" s="417"/>
      <c r="C195" s="417"/>
      <c r="D195" s="403" t="s">
        <v>178</v>
      </c>
      <c r="E195" s="337" t="s">
        <v>270</v>
      </c>
      <c r="F195" s="474"/>
      <c r="G195" s="474"/>
      <c r="H195" s="474"/>
      <c r="I195" s="474"/>
      <c r="J195" s="474">
        <v>750</v>
      </c>
      <c r="K195" s="474">
        <v>738</v>
      </c>
      <c r="L195" s="474">
        <v>209.2</v>
      </c>
      <c r="M195" s="474"/>
    </row>
    <row r="196" spans="1:13" s="19" customFormat="1" ht="42" customHeight="1" x14ac:dyDescent="0.3">
      <c r="A196" s="443"/>
      <c r="B196" s="417"/>
      <c r="C196" s="417"/>
      <c r="D196" s="389"/>
      <c r="E196" s="337" t="s">
        <v>271</v>
      </c>
      <c r="F196" s="474"/>
      <c r="G196" s="474"/>
      <c r="H196" s="474"/>
      <c r="I196" s="474"/>
      <c r="J196" s="474">
        <v>760</v>
      </c>
      <c r="K196" s="474">
        <v>212</v>
      </c>
      <c r="L196" s="474">
        <v>211.2</v>
      </c>
      <c r="M196" s="474"/>
    </row>
    <row r="197" spans="1:13" s="227" customFormat="1" ht="52.5" customHeight="1" x14ac:dyDescent="0.3">
      <c r="A197" s="443">
        <v>4016052</v>
      </c>
      <c r="B197" s="417" t="s">
        <v>189</v>
      </c>
      <c r="C197" s="417" t="s">
        <v>190</v>
      </c>
      <c r="D197" s="389" t="s">
        <v>191</v>
      </c>
      <c r="E197" s="323" t="s">
        <v>521</v>
      </c>
      <c r="F197" s="473">
        <f>F198</f>
        <v>15</v>
      </c>
      <c r="G197" s="473">
        <f t="shared" ref="G197:H197" si="11">G198</f>
        <v>15</v>
      </c>
      <c r="H197" s="473">
        <f t="shared" si="11"/>
        <v>11.8</v>
      </c>
      <c r="I197" s="474">
        <f>H197/F197*100</f>
        <v>78.666666666666671</v>
      </c>
      <c r="J197" s="474"/>
      <c r="K197" s="474"/>
      <c r="L197" s="474"/>
      <c r="M197" s="474"/>
    </row>
    <row r="198" spans="1:13" s="19" customFormat="1" ht="35.25" customHeight="1" x14ac:dyDescent="0.3">
      <c r="A198" s="443"/>
      <c r="B198" s="417"/>
      <c r="C198" s="417"/>
      <c r="D198" s="389"/>
      <c r="E198" s="337" t="s">
        <v>321</v>
      </c>
      <c r="F198" s="474">
        <v>15</v>
      </c>
      <c r="G198" s="474">
        <v>15</v>
      </c>
      <c r="H198" s="474">
        <v>11.8</v>
      </c>
      <c r="I198" s="474"/>
      <c r="J198" s="474"/>
      <c r="K198" s="474"/>
      <c r="L198" s="474"/>
      <c r="M198" s="474"/>
    </row>
    <row r="199" spans="1:13" s="249" customFormat="1" ht="66" hidden="1" customHeight="1" x14ac:dyDescent="0.3">
      <c r="A199" s="444">
        <v>4017810</v>
      </c>
      <c r="B199" s="442" t="s">
        <v>242</v>
      </c>
      <c r="C199" s="442" t="s">
        <v>243</v>
      </c>
      <c r="D199" s="406" t="s">
        <v>244</v>
      </c>
      <c r="E199" s="352" t="s">
        <v>324</v>
      </c>
      <c r="F199" s="476">
        <f>F200</f>
        <v>0</v>
      </c>
      <c r="G199" s="476">
        <f>G200</f>
        <v>0</v>
      </c>
      <c r="H199" s="476">
        <f>H200</f>
        <v>0</v>
      </c>
      <c r="I199" s="476" t="e">
        <f>H199/F199*100</f>
        <v>#DIV/0!</v>
      </c>
      <c r="J199" s="476"/>
      <c r="K199" s="476"/>
      <c r="L199" s="476"/>
      <c r="M199" s="476"/>
    </row>
    <row r="200" spans="1:13" s="227" customFormat="1" ht="153.75" hidden="1" customHeight="1" x14ac:dyDescent="0.3">
      <c r="A200" s="443"/>
      <c r="B200" s="417"/>
      <c r="C200" s="417"/>
      <c r="D200" s="389"/>
      <c r="E200" s="337" t="s">
        <v>323</v>
      </c>
      <c r="F200" s="474">
        <f>150-150</f>
        <v>0</v>
      </c>
      <c r="G200" s="474">
        <f>150-150</f>
        <v>0</v>
      </c>
      <c r="H200" s="474">
        <v>0</v>
      </c>
      <c r="I200" s="474" t="e">
        <f>H200/F200*100</f>
        <v>#DIV/0!</v>
      </c>
      <c r="J200" s="474"/>
      <c r="K200" s="474"/>
      <c r="L200" s="474"/>
      <c r="M200" s="474"/>
    </row>
    <row r="201" spans="1:13" s="227" customFormat="1" ht="60" customHeight="1" x14ac:dyDescent="0.3">
      <c r="A201" s="436">
        <v>4016060</v>
      </c>
      <c r="B201" s="418" t="s">
        <v>199</v>
      </c>
      <c r="C201" s="418" t="s">
        <v>190</v>
      </c>
      <c r="D201" s="389" t="s">
        <v>224</v>
      </c>
      <c r="E201" s="455" t="s">
        <v>520</v>
      </c>
      <c r="F201" s="473">
        <f>F202</f>
        <v>46.5</v>
      </c>
      <c r="G201" s="473">
        <f>G202</f>
        <v>46.5</v>
      </c>
      <c r="H201" s="473">
        <f>H202</f>
        <v>12.9</v>
      </c>
      <c r="I201" s="474"/>
      <c r="J201" s="474"/>
      <c r="K201" s="474"/>
      <c r="L201" s="474"/>
      <c r="M201" s="474"/>
    </row>
    <row r="202" spans="1:13" s="227" customFormat="1" ht="36.75" customHeight="1" x14ac:dyDescent="0.3">
      <c r="A202" s="443"/>
      <c r="B202" s="417"/>
      <c r="C202" s="417"/>
      <c r="D202" s="389"/>
      <c r="E202" s="337" t="s">
        <v>484</v>
      </c>
      <c r="F202" s="474">
        <v>46.5</v>
      </c>
      <c r="G202" s="474">
        <v>46.5</v>
      </c>
      <c r="H202" s="474">
        <v>12.9</v>
      </c>
      <c r="I202" s="474"/>
      <c r="J202" s="474"/>
      <c r="K202" s="474"/>
      <c r="L202" s="474"/>
      <c r="M202" s="474"/>
    </row>
    <row r="203" spans="1:13" s="19" customFormat="1" ht="36" customHeight="1" x14ac:dyDescent="0.3">
      <c r="A203" s="437"/>
      <c r="B203" s="417"/>
      <c r="C203" s="417"/>
      <c r="D203" s="407" t="s">
        <v>50</v>
      </c>
      <c r="E203" s="353"/>
      <c r="F203" s="477">
        <f>F119+F149+F161+F169+F172+F174+F177+F187+F197+F184+F201</f>
        <v>29313.678</v>
      </c>
      <c r="G203" s="477">
        <f>G119+G149+G161+G169+G172+G174+G177+G187+G197+G184+G201</f>
        <v>25600.882999999998</v>
      </c>
      <c r="H203" s="477">
        <f>H119+H149+H161+H169+H172+H174+H177+H187+H197+H184+H201</f>
        <v>21040.6</v>
      </c>
      <c r="I203" s="477">
        <f>H203/F203*100</f>
        <v>71.77741394307462</v>
      </c>
      <c r="J203" s="477">
        <f>J119+J149+J161+J169+J172+J174+J177+J187+J197+J199+J184</f>
        <v>38768.745000000003</v>
      </c>
      <c r="K203" s="477">
        <f>K119+K149+K161+K169+K172+K174+K177+K187+K197+K199+K184</f>
        <v>33937.845000000001</v>
      </c>
      <c r="L203" s="477">
        <f>L119+L149+L161+L169+L172+L174+L177+L187+L197+L199+L184</f>
        <v>14534.900000000001</v>
      </c>
      <c r="M203" s="477">
        <f>L203/J203*100</f>
        <v>37.491283248916105</v>
      </c>
    </row>
    <row r="204" spans="1:13" s="19" customFormat="1" ht="109.5" customHeight="1" x14ac:dyDescent="0.3">
      <c r="A204" s="429">
        <v>6000000</v>
      </c>
      <c r="B204" s="432"/>
      <c r="C204" s="432"/>
      <c r="D204" s="402" t="s">
        <v>233</v>
      </c>
      <c r="E204" s="354"/>
      <c r="F204" s="372"/>
      <c r="G204" s="372"/>
      <c r="H204" s="372"/>
      <c r="I204" s="372"/>
      <c r="J204" s="372"/>
      <c r="K204" s="372"/>
      <c r="L204" s="372"/>
      <c r="M204" s="372"/>
    </row>
    <row r="205" spans="1:13" s="227" customFormat="1" ht="81.75" customHeight="1" x14ac:dyDescent="0.3">
      <c r="A205" s="425">
        <v>6010000</v>
      </c>
      <c r="B205" s="417"/>
      <c r="C205" s="417"/>
      <c r="D205" s="388" t="s">
        <v>233</v>
      </c>
      <c r="E205" s="454"/>
      <c r="F205" s="365"/>
      <c r="G205" s="365"/>
      <c r="H205" s="365"/>
      <c r="I205" s="365"/>
      <c r="J205" s="365"/>
      <c r="K205" s="365"/>
      <c r="L205" s="365"/>
      <c r="M205" s="365"/>
    </row>
    <row r="206" spans="1:13" s="227" customFormat="1" ht="44.25" customHeight="1" x14ac:dyDescent="0.3">
      <c r="A206" s="437"/>
      <c r="B206" s="417"/>
      <c r="C206" s="417"/>
      <c r="D206" s="390"/>
      <c r="E206" s="351" t="s">
        <v>519</v>
      </c>
      <c r="F206" s="366">
        <f>F207+F208+F209+F210</f>
        <v>320</v>
      </c>
      <c r="G206" s="366">
        <f t="shared" ref="G206:H206" si="12">G207+G208+G209+G210</f>
        <v>320</v>
      </c>
      <c r="H206" s="366">
        <f t="shared" si="12"/>
        <v>9.3000000000000007</v>
      </c>
      <c r="I206" s="366">
        <f>H206/F206*100</f>
        <v>2.90625</v>
      </c>
      <c r="J206" s="366">
        <f>J207+J208+J210</f>
        <v>500</v>
      </c>
      <c r="K206" s="366">
        <f>K207+K208+K210</f>
        <v>500</v>
      </c>
      <c r="L206" s="366">
        <f>L207+L208+L210</f>
        <v>0</v>
      </c>
      <c r="M206" s="366">
        <f>L206/J206*100</f>
        <v>0</v>
      </c>
    </row>
    <row r="207" spans="1:13" s="19" customFormat="1" ht="63" customHeight="1" x14ac:dyDescent="0.3">
      <c r="A207" s="159" t="s">
        <v>234</v>
      </c>
      <c r="B207" s="159" t="s">
        <v>235</v>
      </c>
      <c r="C207" s="417" t="s">
        <v>236</v>
      </c>
      <c r="D207" s="389" t="s">
        <v>237</v>
      </c>
      <c r="E207" s="345" t="s">
        <v>395</v>
      </c>
      <c r="F207" s="365">
        <v>31.5</v>
      </c>
      <c r="G207" s="365">
        <f>31.5</f>
        <v>31.5</v>
      </c>
      <c r="H207" s="365">
        <v>0</v>
      </c>
      <c r="I207" s="365"/>
      <c r="J207" s="365"/>
      <c r="K207" s="365"/>
      <c r="L207" s="365"/>
      <c r="M207" s="365"/>
    </row>
    <row r="208" spans="1:13" s="19" customFormat="1" ht="70.5" customHeight="1" x14ac:dyDescent="0.3">
      <c r="A208" s="159"/>
      <c r="B208" s="159"/>
      <c r="C208" s="417"/>
      <c r="D208" s="389"/>
      <c r="E208" s="345" t="s">
        <v>307</v>
      </c>
      <c r="F208" s="365">
        <v>100</v>
      </c>
      <c r="G208" s="365">
        <f>30+40+30</f>
        <v>100</v>
      </c>
      <c r="H208" s="365">
        <f>9.3</f>
        <v>9.3000000000000007</v>
      </c>
      <c r="I208" s="365"/>
      <c r="J208" s="365"/>
      <c r="K208" s="365"/>
      <c r="L208" s="365"/>
      <c r="M208" s="365"/>
    </row>
    <row r="209" spans="1:13" s="19" customFormat="1" ht="142.5" customHeight="1" x14ac:dyDescent="0.3">
      <c r="A209" s="159"/>
      <c r="B209" s="159"/>
      <c r="C209" s="417"/>
      <c r="D209" s="389"/>
      <c r="E209" s="345" t="s">
        <v>437</v>
      </c>
      <c r="F209" s="365">
        <v>188.5</v>
      </c>
      <c r="G209" s="365">
        <v>188.5</v>
      </c>
      <c r="H209" s="365">
        <v>0</v>
      </c>
      <c r="I209" s="365"/>
      <c r="J209" s="365"/>
      <c r="K209" s="365"/>
      <c r="L209" s="365"/>
      <c r="M209" s="365"/>
    </row>
    <row r="210" spans="1:13" s="51" customFormat="1" ht="68.25" customHeight="1" x14ac:dyDescent="0.3">
      <c r="A210" s="425">
        <v>6017420</v>
      </c>
      <c r="B210" s="234" t="s">
        <v>217</v>
      </c>
      <c r="C210" s="234" t="s">
        <v>37</v>
      </c>
      <c r="D210" s="389" t="s">
        <v>194</v>
      </c>
      <c r="E210" s="345" t="s">
        <v>374</v>
      </c>
      <c r="F210" s="365"/>
      <c r="G210" s="365"/>
      <c r="H210" s="365"/>
      <c r="I210" s="365"/>
      <c r="J210" s="365">
        <v>500</v>
      </c>
      <c r="K210" s="365">
        <v>500</v>
      </c>
      <c r="L210" s="365">
        <v>0</v>
      </c>
      <c r="M210" s="365"/>
    </row>
    <row r="211" spans="1:13" s="53" customFormat="1" ht="60.75" customHeight="1" x14ac:dyDescent="0.3">
      <c r="A211" s="425"/>
      <c r="B211" s="234"/>
      <c r="C211" s="234"/>
      <c r="D211" s="389"/>
      <c r="E211" s="453" t="s">
        <v>518</v>
      </c>
      <c r="F211" s="365">
        <f t="shared" ref="F211:M211" si="13">F212+F213+F214</f>
        <v>135.69999999999999</v>
      </c>
      <c r="G211" s="365">
        <f t="shared" si="13"/>
        <v>135.69999999999999</v>
      </c>
      <c r="H211" s="365">
        <f t="shared" si="13"/>
        <v>70.7</v>
      </c>
      <c r="I211" s="365">
        <f>H211/F211*100</f>
        <v>52.100221075902731</v>
      </c>
      <c r="J211" s="365">
        <f>J212+J213+J214</f>
        <v>180.17599999999999</v>
      </c>
      <c r="K211" s="365">
        <f>K212+K213+K214</f>
        <v>145.17599999999999</v>
      </c>
      <c r="L211" s="365">
        <f>L212+L213+L214</f>
        <v>109.5</v>
      </c>
      <c r="M211" s="365">
        <f t="shared" si="13"/>
        <v>149.55973715651135</v>
      </c>
    </row>
    <row r="212" spans="1:13" s="51" customFormat="1" ht="92.25" customHeight="1" x14ac:dyDescent="0.3">
      <c r="A212" s="425">
        <v>6019110</v>
      </c>
      <c r="B212" s="234" t="s">
        <v>239</v>
      </c>
      <c r="C212" s="234" t="s">
        <v>240</v>
      </c>
      <c r="D212" s="389" t="s">
        <v>274</v>
      </c>
      <c r="E212" s="337" t="s">
        <v>517</v>
      </c>
      <c r="F212" s="365"/>
      <c r="G212" s="365"/>
      <c r="H212" s="365"/>
      <c r="I212" s="365"/>
      <c r="J212" s="365">
        <v>140</v>
      </c>
      <c r="K212" s="365">
        <v>105</v>
      </c>
      <c r="L212" s="365">
        <v>69.3</v>
      </c>
      <c r="M212" s="365">
        <f>L212/J212*100</f>
        <v>49.5</v>
      </c>
    </row>
    <row r="213" spans="1:13" s="51" customFormat="1" ht="68.25" customHeight="1" x14ac:dyDescent="0.3">
      <c r="A213" s="425">
        <v>6019110</v>
      </c>
      <c r="B213" s="234" t="s">
        <v>239</v>
      </c>
      <c r="C213" s="234" t="s">
        <v>240</v>
      </c>
      <c r="D213" s="389" t="s">
        <v>274</v>
      </c>
      <c r="E213" s="337" t="s">
        <v>396</v>
      </c>
      <c r="F213" s="365"/>
      <c r="G213" s="365"/>
      <c r="H213" s="365"/>
      <c r="I213" s="365"/>
      <c r="J213" s="365">
        <v>40.176000000000002</v>
      </c>
      <c r="K213" s="365">
        <v>40.176000000000002</v>
      </c>
      <c r="L213" s="365">
        <v>40.200000000000003</v>
      </c>
      <c r="M213" s="365">
        <f>L213/J213*100</f>
        <v>100.05973715651135</v>
      </c>
    </row>
    <row r="214" spans="1:13" s="51" customFormat="1" ht="122.25" customHeight="1" x14ac:dyDescent="0.3">
      <c r="A214" s="425">
        <v>6016060</v>
      </c>
      <c r="B214" s="234" t="s">
        <v>199</v>
      </c>
      <c r="C214" s="234" t="s">
        <v>190</v>
      </c>
      <c r="D214" s="408" t="s">
        <v>306</v>
      </c>
      <c r="E214" s="337" t="s">
        <v>390</v>
      </c>
      <c r="F214" s="365">
        <v>135.69999999999999</v>
      </c>
      <c r="G214" s="365">
        <v>135.69999999999999</v>
      </c>
      <c r="H214" s="365">
        <v>70.7</v>
      </c>
      <c r="I214" s="365">
        <f>H214/F214*100</f>
        <v>52.100221075902731</v>
      </c>
      <c r="J214" s="365"/>
      <c r="K214" s="365"/>
      <c r="L214" s="365"/>
      <c r="M214" s="365"/>
    </row>
    <row r="215" spans="1:13" s="32" customFormat="1" ht="27.75" customHeight="1" x14ac:dyDescent="0.3">
      <c r="A215" s="427"/>
      <c r="B215" s="427"/>
      <c r="C215" s="427"/>
      <c r="D215" s="407" t="s">
        <v>50</v>
      </c>
      <c r="E215" s="332"/>
      <c r="F215" s="367">
        <f>F206+F211</f>
        <v>455.7</v>
      </c>
      <c r="G215" s="367">
        <f>G206+G211</f>
        <v>455.7</v>
      </c>
      <c r="H215" s="367">
        <f>H206+H211</f>
        <v>80</v>
      </c>
      <c r="I215" s="367">
        <f>H215/F215*100</f>
        <v>17.555409260478385</v>
      </c>
      <c r="J215" s="367">
        <f>J206+J211</f>
        <v>680.17599999999993</v>
      </c>
      <c r="K215" s="367">
        <f t="shared" ref="K215:M215" si="14">K206+K211</f>
        <v>645.17599999999993</v>
      </c>
      <c r="L215" s="367">
        <f t="shared" si="14"/>
        <v>109.5</v>
      </c>
      <c r="M215" s="367">
        <f t="shared" si="14"/>
        <v>149.55973715651135</v>
      </c>
    </row>
    <row r="216" spans="1:13" s="51" customFormat="1" ht="122.25" customHeight="1" x14ac:dyDescent="0.3">
      <c r="A216" s="429">
        <v>6700000</v>
      </c>
      <c r="B216" s="445"/>
      <c r="C216" s="445"/>
      <c r="D216" s="380" t="s">
        <v>241</v>
      </c>
      <c r="E216" s="340"/>
      <c r="F216" s="370"/>
      <c r="G216" s="370"/>
      <c r="H216" s="370"/>
      <c r="I216" s="370"/>
      <c r="J216" s="370"/>
      <c r="K216" s="370"/>
      <c r="L216" s="370"/>
      <c r="M216" s="370"/>
    </row>
    <row r="217" spans="1:13" s="53" customFormat="1" ht="96" customHeight="1" x14ac:dyDescent="0.3">
      <c r="A217" s="425">
        <v>6710000</v>
      </c>
      <c r="B217" s="420"/>
      <c r="C217" s="420"/>
      <c r="D217" s="398" t="s">
        <v>241</v>
      </c>
      <c r="E217" s="336"/>
      <c r="F217" s="366"/>
      <c r="G217" s="366"/>
      <c r="H217" s="366"/>
      <c r="I217" s="366"/>
      <c r="J217" s="366"/>
      <c r="K217" s="366"/>
      <c r="L217" s="366"/>
      <c r="M217" s="366"/>
    </row>
    <row r="218" spans="1:13" s="51" customFormat="1" ht="82.5" customHeight="1" x14ac:dyDescent="0.3">
      <c r="A218" s="446">
        <v>6717810</v>
      </c>
      <c r="B218" s="427" t="s">
        <v>242</v>
      </c>
      <c r="C218" s="427" t="s">
        <v>243</v>
      </c>
      <c r="D218" s="158" t="s">
        <v>244</v>
      </c>
      <c r="E218" s="323" t="s">
        <v>381</v>
      </c>
      <c r="F218" s="366">
        <f>F219+F220</f>
        <v>213.89999999999998</v>
      </c>
      <c r="G218" s="366">
        <f>G219+G220</f>
        <v>210.8</v>
      </c>
      <c r="H218" s="366">
        <f>H219+H220</f>
        <v>208</v>
      </c>
      <c r="I218" s="366">
        <f>H218/F218*100</f>
        <v>97.241701729780289</v>
      </c>
      <c r="J218" s="366">
        <f>J219+J220</f>
        <v>94.4</v>
      </c>
      <c r="K218" s="366">
        <f>K219+K220</f>
        <v>94.4</v>
      </c>
      <c r="L218" s="366">
        <f>L219+L220</f>
        <v>94.4</v>
      </c>
      <c r="M218" s="366">
        <f>L218/J218*100</f>
        <v>100</v>
      </c>
    </row>
    <row r="219" spans="1:13" s="51" customFormat="1" ht="36" customHeight="1" x14ac:dyDescent="0.3">
      <c r="A219" s="446"/>
      <c r="B219" s="427"/>
      <c r="C219" s="427"/>
      <c r="D219" s="158"/>
      <c r="E219" s="337" t="s">
        <v>382</v>
      </c>
      <c r="F219" s="365">
        <v>38.299999999999997</v>
      </c>
      <c r="G219" s="365">
        <v>35.200000000000003</v>
      </c>
      <c r="H219" s="365">
        <v>32.5</v>
      </c>
      <c r="I219" s="365">
        <f>H219/F219*100</f>
        <v>84.85639686684074</v>
      </c>
      <c r="J219" s="365">
        <v>0</v>
      </c>
      <c r="K219" s="365">
        <v>0</v>
      </c>
      <c r="L219" s="365">
        <v>0</v>
      </c>
      <c r="M219" s="365"/>
    </row>
    <row r="220" spans="1:13" s="51" customFormat="1" ht="54.75" customHeight="1" x14ac:dyDescent="0.3">
      <c r="A220" s="446"/>
      <c r="B220" s="427"/>
      <c r="C220" s="427"/>
      <c r="D220" s="158"/>
      <c r="E220" s="337" t="s">
        <v>383</v>
      </c>
      <c r="F220" s="365">
        <v>175.6</v>
      </c>
      <c r="G220" s="365">
        <v>175.6</v>
      </c>
      <c r="H220" s="365">
        <v>175.5</v>
      </c>
      <c r="I220" s="365">
        <f>H220/F220*100</f>
        <v>99.94305239179954</v>
      </c>
      <c r="J220" s="365">
        <v>94.4</v>
      </c>
      <c r="K220" s="365">
        <v>94.4</v>
      </c>
      <c r="L220" s="365">
        <v>94.4</v>
      </c>
      <c r="M220" s="365"/>
    </row>
    <row r="221" spans="1:13" s="51" customFormat="1" ht="95.25" customHeight="1" x14ac:dyDescent="0.3">
      <c r="A221" s="446"/>
      <c r="B221" s="427"/>
      <c r="C221" s="427"/>
      <c r="D221" s="158"/>
      <c r="E221" s="323" t="s">
        <v>350</v>
      </c>
      <c r="F221" s="366">
        <f>F222+F224+F223</f>
        <v>60</v>
      </c>
      <c r="G221" s="366">
        <f>G222+G224+G223</f>
        <v>30</v>
      </c>
      <c r="H221" s="366">
        <f>H222+H224+H223</f>
        <v>20.8</v>
      </c>
      <c r="I221" s="366">
        <f t="shared" ref="I221:M221" si="15">I222+I224</f>
        <v>0</v>
      </c>
      <c r="J221" s="366">
        <f>J222+J224</f>
        <v>203.6</v>
      </c>
      <c r="K221" s="366">
        <f>K222+K224</f>
        <v>203.6</v>
      </c>
      <c r="L221" s="366">
        <f>L222+L224</f>
        <v>74.5</v>
      </c>
      <c r="M221" s="366">
        <f t="shared" si="15"/>
        <v>0</v>
      </c>
    </row>
    <row r="222" spans="1:13" s="51" customFormat="1" ht="44.25" customHeight="1" x14ac:dyDescent="0.3">
      <c r="A222" s="159" t="s">
        <v>351</v>
      </c>
      <c r="B222" s="159" t="s">
        <v>352</v>
      </c>
      <c r="C222" s="159" t="s">
        <v>353</v>
      </c>
      <c r="D222" s="452" t="s">
        <v>354</v>
      </c>
      <c r="E222" s="350" t="s">
        <v>355</v>
      </c>
      <c r="F222" s="366">
        <v>59.2</v>
      </c>
      <c r="G222" s="366">
        <v>29.2</v>
      </c>
      <c r="H222" s="366">
        <v>20</v>
      </c>
      <c r="I222" s="366"/>
      <c r="J222" s="366"/>
      <c r="K222" s="366"/>
      <c r="L222" s="366"/>
      <c r="M222" s="366"/>
    </row>
    <row r="223" spans="1:13" s="51" customFormat="1" ht="40.5" customHeight="1" x14ac:dyDescent="0.3">
      <c r="A223" s="159" t="s">
        <v>351</v>
      </c>
      <c r="B223" s="159" t="s">
        <v>352</v>
      </c>
      <c r="C223" s="159" t="s">
        <v>353</v>
      </c>
      <c r="D223" s="452" t="s">
        <v>354</v>
      </c>
      <c r="E223" s="350" t="s">
        <v>458</v>
      </c>
      <c r="F223" s="366">
        <v>0.8</v>
      </c>
      <c r="G223" s="366">
        <v>0.8</v>
      </c>
      <c r="H223" s="366">
        <v>0.8</v>
      </c>
      <c r="I223" s="366"/>
      <c r="J223" s="366"/>
      <c r="K223" s="366"/>
      <c r="L223" s="366"/>
      <c r="M223" s="366"/>
    </row>
    <row r="224" spans="1:13" s="51" customFormat="1" ht="54" customHeight="1" x14ac:dyDescent="0.3">
      <c r="A224" s="159" t="s">
        <v>356</v>
      </c>
      <c r="B224" s="159" t="s">
        <v>29</v>
      </c>
      <c r="C224" s="159" t="s">
        <v>30</v>
      </c>
      <c r="D224" s="158" t="s">
        <v>27</v>
      </c>
      <c r="E224" s="350" t="s">
        <v>357</v>
      </c>
      <c r="F224" s="366"/>
      <c r="G224" s="366"/>
      <c r="H224" s="366"/>
      <c r="I224" s="366"/>
      <c r="J224" s="366">
        <v>203.6</v>
      </c>
      <c r="K224" s="366">
        <v>203.6</v>
      </c>
      <c r="L224" s="366">
        <v>74.5</v>
      </c>
      <c r="M224" s="366">
        <v>0</v>
      </c>
    </row>
    <row r="225" spans="1:14" s="307" customFormat="1" ht="29.25" customHeight="1" x14ac:dyDescent="0.3">
      <c r="A225" s="461"/>
      <c r="B225" s="447"/>
      <c r="C225" s="447"/>
      <c r="D225" s="407" t="s">
        <v>50</v>
      </c>
      <c r="E225" s="332"/>
      <c r="F225" s="367">
        <f>F218+F221</f>
        <v>273.89999999999998</v>
      </c>
      <c r="G225" s="367">
        <f>G218+G221</f>
        <v>240.8</v>
      </c>
      <c r="H225" s="367">
        <f>H218+H221</f>
        <v>228.8</v>
      </c>
      <c r="I225" s="367">
        <f t="shared" ref="I225:M225" si="16">I218+I221</f>
        <v>97.241701729780289</v>
      </c>
      <c r="J225" s="367">
        <f>J218+J221</f>
        <v>298</v>
      </c>
      <c r="K225" s="367">
        <f t="shared" si="16"/>
        <v>298</v>
      </c>
      <c r="L225" s="367">
        <f t="shared" si="16"/>
        <v>168.9</v>
      </c>
      <c r="M225" s="367">
        <f t="shared" si="16"/>
        <v>100</v>
      </c>
    </row>
    <row r="226" spans="1:14" s="51" customFormat="1" ht="43.5" hidden="1" customHeight="1" x14ac:dyDescent="0.3">
      <c r="A226" s="429">
        <v>7500000</v>
      </c>
      <c r="B226" s="431"/>
      <c r="C226" s="431"/>
      <c r="D226" s="396" t="s">
        <v>246</v>
      </c>
      <c r="E226" s="340"/>
      <c r="F226" s="370"/>
      <c r="G226" s="370"/>
      <c r="H226" s="370"/>
      <c r="I226" s="370"/>
      <c r="J226" s="370"/>
      <c r="K226" s="370"/>
      <c r="L226" s="370"/>
      <c r="M226" s="370"/>
    </row>
    <row r="227" spans="1:14" s="51" customFormat="1" ht="45.75" hidden="1" customHeight="1" x14ac:dyDescent="0.3">
      <c r="A227" s="439">
        <v>7510000</v>
      </c>
      <c r="B227" s="431"/>
      <c r="C227" s="431"/>
      <c r="D227" s="397" t="s">
        <v>246</v>
      </c>
      <c r="E227" s="340"/>
      <c r="F227" s="370"/>
      <c r="G227" s="370"/>
      <c r="H227" s="370"/>
      <c r="I227" s="370"/>
      <c r="J227" s="370"/>
      <c r="K227" s="370"/>
      <c r="L227" s="370"/>
      <c r="M227" s="370"/>
    </row>
    <row r="228" spans="1:14" s="51" customFormat="1" ht="21.75" customHeight="1" x14ac:dyDescent="0.3">
      <c r="A228" s="427" t="s">
        <v>247</v>
      </c>
      <c r="B228" s="427" t="s">
        <v>26</v>
      </c>
      <c r="C228" s="427" t="s">
        <v>30</v>
      </c>
      <c r="D228" s="393" t="s">
        <v>27</v>
      </c>
      <c r="E228" s="336"/>
      <c r="F228" s="366">
        <f>F229</f>
        <v>666.2</v>
      </c>
      <c r="G228" s="366">
        <f>G229</f>
        <v>666.2</v>
      </c>
      <c r="H228" s="366">
        <f>H229</f>
        <v>0</v>
      </c>
      <c r="I228" s="366">
        <f>H228/F228*100</f>
        <v>0</v>
      </c>
      <c r="J228" s="366">
        <f>J229</f>
        <v>0</v>
      </c>
      <c r="K228" s="366"/>
      <c r="L228" s="366"/>
      <c r="M228" s="366"/>
    </row>
    <row r="229" spans="1:14" s="51" customFormat="1" ht="74.25" customHeight="1" x14ac:dyDescent="0.3">
      <c r="A229" s="425">
        <v>7518601</v>
      </c>
      <c r="B229" s="234" t="s">
        <v>29</v>
      </c>
      <c r="C229" s="234" t="s">
        <v>30</v>
      </c>
      <c r="D229" s="393" t="s">
        <v>27</v>
      </c>
      <c r="E229" s="330" t="s">
        <v>516</v>
      </c>
      <c r="F229" s="365">
        <v>666.2</v>
      </c>
      <c r="G229" s="365">
        <v>666.2</v>
      </c>
      <c r="H229" s="365">
        <v>0</v>
      </c>
      <c r="I229" s="365">
        <f>H229/F229*100</f>
        <v>0</v>
      </c>
      <c r="J229" s="365"/>
      <c r="K229" s="365"/>
      <c r="L229" s="365"/>
      <c r="M229" s="365"/>
    </row>
    <row r="230" spans="1:14" s="19" customFormat="1" ht="27.75" customHeight="1" x14ac:dyDescent="0.3">
      <c r="A230" s="427"/>
      <c r="B230" s="427"/>
      <c r="C230" s="427"/>
      <c r="D230" s="409" t="s">
        <v>50</v>
      </c>
      <c r="E230" s="355"/>
      <c r="F230" s="368">
        <f>F228</f>
        <v>666.2</v>
      </c>
      <c r="G230" s="368">
        <f>G228</f>
        <v>666.2</v>
      </c>
      <c r="H230" s="368">
        <f>H228</f>
        <v>0</v>
      </c>
      <c r="I230" s="368">
        <f>H230/F230*100</f>
        <v>0</v>
      </c>
      <c r="J230" s="368">
        <f>J228</f>
        <v>0</v>
      </c>
      <c r="K230" s="368">
        <f>K228</f>
        <v>0</v>
      </c>
      <c r="L230" s="368">
        <f>L228</f>
        <v>0</v>
      </c>
      <c r="M230" s="368"/>
    </row>
    <row r="231" spans="1:14" s="51" customFormat="1" ht="54" customHeight="1" x14ac:dyDescent="0.3">
      <c r="A231" s="448"/>
      <c r="B231" s="449"/>
      <c r="C231" s="449"/>
      <c r="D231" s="410" t="s">
        <v>248</v>
      </c>
      <c r="E231" s="356"/>
      <c r="F231" s="462">
        <f>F28+F44+F90+F95+F116+F203+F215+F225+F230+F31</f>
        <v>39769.327999999994</v>
      </c>
      <c r="G231" s="462">
        <f>G28+G44+G90+G95+G116+G203+G215+G225+G230+G31</f>
        <v>33848.382999999994</v>
      </c>
      <c r="H231" s="462">
        <f>H28+H44+H90+H95+H116+H203+H215+H225+H230+H31</f>
        <v>26788.495229999997</v>
      </c>
      <c r="I231" s="462">
        <f>H231/F231*100</f>
        <v>67.359687923316187</v>
      </c>
      <c r="J231" s="462">
        <f>J28+J44+J90+J95+J116+J203+J215+J225+J230+J31</f>
        <v>41005.521000000001</v>
      </c>
      <c r="K231" s="462">
        <f>K28+K44+K90+K95+K116+K203+K215+K225+K230+K31</f>
        <v>35593.620999999999</v>
      </c>
      <c r="L231" s="462">
        <f>L28+L44+L90+L95+L116+L203+L215+L225+L230+L31</f>
        <v>15312.900000000001</v>
      </c>
      <c r="M231" s="462">
        <f>L231/J231*100</f>
        <v>37.343507963232561</v>
      </c>
      <c r="N231" s="317">
        <f>H231+L231</f>
        <v>42101.395229999995</v>
      </c>
    </row>
    <row r="235" spans="1:14" s="466" customFormat="1" ht="50.25" customHeight="1" x14ac:dyDescent="0.35">
      <c r="A235" s="463"/>
      <c r="B235" s="464" t="s">
        <v>535</v>
      </c>
      <c r="C235" s="464"/>
      <c r="D235" s="463"/>
      <c r="E235" s="465"/>
      <c r="F235" s="463"/>
      <c r="G235" s="463"/>
      <c r="H235" s="463" t="s">
        <v>536</v>
      </c>
      <c r="I235" s="463"/>
      <c r="J235" s="463"/>
      <c r="K235" s="463"/>
      <c r="L235" s="463"/>
      <c r="M235" s="463"/>
    </row>
  </sheetData>
  <mergeCells count="9">
    <mergeCell ref="B10:M10"/>
    <mergeCell ref="B5:M5"/>
    <mergeCell ref="A8:A9"/>
    <mergeCell ref="B8:B9"/>
    <mergeCell ref="C8:C9"/>
    <mergeCell ref="D8:D9"/>
    <mergeCell ref="E8:E9"/>
    <mergeCell ref="J8:M8"/>
    <mergeCell ref="F8:I8"/>
  </mergeCells>
  <hyperlinks>
    <hyperlink ref="E24" r:id="rId1" display="http://akts.yu.mk.ua/showdoc/4829/"/>
  </hyperlinks>
  <pageMargins left="0.31496062992125984" right="0.11811023622047245" top="0.74803149606299213" bottom="0.35433070866141736" header="0.31496062992125984" footer="0.31496062992125984"/>
  <pageSetup paperSize="9" scale="60" fitToHeight="15" orientation="landscape" blackAndWhite="1" r:id="rId2"/>
  <headerFooter differentFirst="1">
    <oddFooter>&amp;C&amp;P</oddFooter>
  </headerFooter>
  <rowBreaks count="3" manualBreakCount="3">
    <brk id="62" max="12" man="1"/>
    <brk id="70" max="12" man="1"/>
    <brk id="21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01.04.2017</vt:lpstr>
      <vt:lpstr>01.05.2017</vt:lpstr>
      <vt:lpstr>01.06.2017</vt:lpstr>
      <vt:lpstr>01.07.2017</vt:lpstr>
      <vt:lpstr>01.08.2017</vt:lpstr>
      <vt:lpstr>01.09.2017</vt:lpstr>
      <vt:lpstr>01.10.2017</vt:lpstr>
      <vt:lpstr>'01.04.2017'!Область_печати</vt:lpstr>
      <vt:lpstr>'01.05.2017'!Область_печати</vt:lpstr>
      <vt:lpstr>'01.06.2017'!Область_печати</vt:lpstr>
      <vt:lpstr>'01.07.2017'!Область_печати</vt:lpstr>
      <vt:lpstr>'01.08.2017'!Область_печати</vt:lpstr>
      <vt:lpstr>'01.09.2017'!Область_печати</vt:lpstr>
      <vt:lpstr>'01.10.2017'!Область_печати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2017-10-23T08:09:49Z</dcterms:modified>
</cp:coreProperties>
</file>